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2.xml" ContentType="application/vnd.openxmlformats-officedocument.drawing+xml"/>
  <Override PartName="/xl/embeddings/oleObject1.bin" ContentType="application/vnd.openxmlformats-officedocument.oleObject"/>
  <Override PartName="/xl/drawings/drawing3.xml" ContentType="application/vnd.openxmlformats-officedocument.drawing+xml"/>
  <Override PartName="/xl/embeddings/oleObject2.bin" ContentType="application/vnd.openxmlformats-officedocument.oleObject"/>
  <Override PartName="/xl/drawings/drawing4.xml" ContentType="application/vnd.openxmlformats-officedocument.drawing+xml"/>
  <Override PartName="/xl/embeddings/oleObject3.bin" ContentType="application/vnd.openxmlformats-officedocument.oleObject"/>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29"/>
  <workbookPr codeName="Questa_cartella_di_lavoro" defaultThemeVersion="124226"/>
  <mc:AlternateContent xmlns:mc="http://schemas.openxmlformats.org/markup-compatibility/2006">
    <mc:Choice Requires="x15">
      <x15ac:absPath xmlns:x15ac="http://schemas.microsoft.com/office/spreadsheetml/2010/11/ac" url="I:\_WEB_2017_2021\__CONTENUTI NUOVO SITO 2017\ALLEGATI\COMMISSIONI\2021\forense\"/>
    </mc:Choice>
  </mc:AlternateContent>
  <xr:revisionPtr revIDLastSave="0" documentId="8_{D25B9C7C-62A2-4B36-9446-EAC000B992D0}" xr6:coauthVersionLast="44" xr6:coauthVersionMax="44" xr10:uidLastSave="{00000000-0000-0000-0000-000000000000}"/>
  <bookViews>
    <workbookView xWindow="-108" yWindow="-108" windowWidth="23256" windowHeight="12576" xr2:uid="{00000000-000D-0000-FFFF-FFFF00000000}"/>
  </bookViews>
  <sheets>
    <sheet name="Calcolo compensi CCT" sheetId="7" r:id="rId1"/>
    <sheet name="RIEPILOGO" sheetId="9" r:id="rId2"/>
    <sheet name="Tabella-Z1" sheetId="5" r:id="rId3"/>
    <sheet name="LINEE GUIDA CCT" sheetId="10" r:id="rId4"/>
    <sheet name="DM 17_06_2016" sheetId="11" r:id="rId5"/>
    <sheet name="DM 10_03_2014 n.55 " sheetId="12" r:id="rId6"/>
  </sheets>
  <definedNames>
    <definedName name="_xlnm.Print_Area" localSheetId="1">RIEPILOGO!$A$1:$K$47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20" i="9" l="1"/>
  <c r="J20" i="9" s="1"/>
  <c r="K23" i="9"/>
  <c r="J17" i="9"/>
  <c r="I17" i="9"/>
  <c r="H17" i="9"/>
  <c r="G17" i="9"/>
  <c r="F17" i="9"/>
  <c r="E5" i="9"/>
  <c r="A5" i="9"/>
  <c r="D8" i="9"/>
  <c r="A8" i="9"/>
  <c r="D4" i="9"/>
  <c r="D10" i="9"/>
  <c r="A10" i="9"/>
  <c r="A4" i="9"/>
  <c r="D7" i="9"/>
  <c r="D6" i="9"/>
  <c r="H24" i="7"/>
  <c r="A9" i="9"/>
  <c r="A7" i="9"/>
  <c r="A6" i="9"/>
  <c r="D38" i="9"/>
  <c r="D37" i="9"/>
  <c r="R17" i="7"/>
  <c r="Q17" i="7"/>
  <c r="P17" i="7"/>
  <c r="O17" i="7"/>
  <c r="N17" i="7"/>
  <c r="M17" i="7"/>
  <c r="L17" i="7"/>
  <c r="K17" i="7"/>
  <c r="J17" i="7"/>
  <c r="I17" i="7"/>
  <c r="I19" i="7" s="1"/>
  <c r="F32" i="7"/>
  <c r="O31" i="7" s="1"/>
  <c r="D24" i="9" s="1"/>
  <c r="G39" i="7"/>
  <c r="E13" i="7"/>
  <c r="F56" i="7" s="1"/>
  <c r="E88" i="7"/>
  <c r="E89" i="7" s="1"/>
  <c r="E90" i="7" s="1"/>
  <c r="E91" i="7" s="1"/>
  <c r="E92" i="7" s="1"/>
  <c r="E93" i="7" s="1"/>
  <c r="E94" i="7" s="1"/>
  <c r="P20" i="7"/>
  <c r="O20" i="7"/>
  <c r="P15" i="7"/>
  <c r="M20" i="7"/>
  <c r="L20" i="7"/>
  <c r="K20" i="7"/>
  <c r="M15" i="7"/>
  <c r="L15" i="7"/>
  <c r="G42" i="7"/>
  <c r="I42" i="7" s="1"/>
  <c r="H42" i="7"/>
  <c r="E43" i="7"/>
  <c r="R20" i="7"/>
  <c r="Q20" i="7"/>
  <c r="N20" i="7"/>
  <c r="J20" i="7"/>
  <c r="I20" i="7"/>
  <c r="R15" i="7"/>
  <c r="Q15" i="7"/>
  <c r="O15" i="7"/>
  <c r="N15" i="7"/>
  <c r="K15" i="7"/>
  <c r="J15" i="7"/>
  <c r="I15" i="7"/>
  <c r="I20" i="9" l="1"/>
  <c r="K20" i="9" s="1"/>
  <c r="I9" i="7"/>
  <c r="D9" i="9" s="1"/>
  <c r="G24" i="9"/>
  <c r="F36" i="7"/>
  <c r="F33" i="7"/>
  <c r="F34" i="7"/>
  <c r="F54" i="7"/>
  <c r="F53" i="7"/>
  <c r="O32" i="7"/>
  <c r="D27" i="9" s="1"/>
  <c r="F27" i="9" s="1"/>
  <c r="K27" i="9" s="1"/>
  <c r="E16" i="7"/>
  <c r="P22" i="7"/>
  <c r="P23" i="7" s="1"/>
  <c r="L22" i="7"/>
  <c r="L23" i="7" s="1"/>
  <c r="M22" i="7"/>
  <c r="M23" i="7" s="1"/>
  <c r="E44" i="7"/>
  <c r="G43" i="7"/>
  <c r="I43" i="7" s="1"/>
  <c r="J22" i="7"/>
  <c r="J25" i="7" s="1"/>
  <c r="J24" i="7" s="1"/>
  <c r="R22" i="7"/>
  <c r="R25" i="7" s="1"/>
  <c r="Q22" i="7"/>
  <c r="Q25" i="7" s="1"/>
  <c r="O22" i="7"/>
  <c r="O25" i="7" s="1"/>
  <c r="N22" i="7"/>
  <c r="N25" i="7" s="1"/>
  <c r="K22" i="7"/>
  <c r="K25" i="7" s="1"/>
  <c r="K24" i="7" s="1"/>
  <c r="I22" i="7"/>
  <c r="I25" i="7" s="1"/>
  <c r="H24" i="9" l="1"/>
  <c r="J24" i="9"/>
  <c r="I24" i="9"/>
  <c r="P25" i="7"/>
  <c r="P24" i="7" s="1"/>
  <c r="M25" i="7"/>
  <c r="L25" i="7"/>
  <c r="L24" i="7" s="1"/>
  <c r="I33" i="7"/>
  <c r="I35" i="7"/>
  <c r="P19" i="7"/>
  <c r="P26" i="7" s="1"/>
  <c r="E45" i="7"/>
  <c r="G45" i="7" s="1"/>
  <c r="I45" i="7" s="1"/>
  <c r="G44" i="7"/>
  <c r="I44" i="7" s="1"/>
  <c r="R23" i="7"/>
  <c r="I23" i="7"/>
  <c r="I26" i="7" s="1"/>
  <c r="K23" i="7"/>
  <c r="N23" i="7"/>
  <c r="O23" i="7"/>
  <c r="Q23" i="7"/>
  <c r="J23" i="7"/>
  <c r="K24" i="9" l="1"/>
  <c r="O33" i="7"/>
  <c r="I61" i="7" s="1"/>
  <c r="D25" i="9"/>
  <c r="G25" i="9" s="1"/>
  <c r="O35" i="7"/>
  <c r="I62" i="7" s="1"/>
  <c r="D28" i="9"/>
  <c r="M19" i="7"/>
  <c r="M26" i="7" s="1"/>
  <c r="M24" i="7"/>
  <c r="L19" i="7"/>
  <c r="L26" i="7" s="1"/>
  <c r="E46" i="7"/>
  <c r="G46" i="7" s="1"/>
  <c r="I46" i="7" s="1"/>
  <c r="J19" i="7"/>
  <c r="J26" i="7" s="1"/>
  <c r="Q24" i="7"/>
  <c r="Q19" i="7"/>
  <c r="Q26" i="7" s="1"/>
  <c r="N24" i="7"/>
  <c r="N19" i="7"/>
  <c r="N26" i="7" s="1"/>
  <c r="O24" i="7"/>
  <c r="O19" i="7"/>
  <c r="O26" i="7" s="1"/>
  <c r="R24" i="7"/>
  <c r="R19" i="7"/>
  <c r="R26" i="7" s="1"/>
  <c r="K19" i="7"/>
  <c r="K26" i="7" s="1"/>
  <c r="S17" i="7"/>
  <c r="J53" i="5"/>
  <c r="J52" i="5"/>
  <c r="J51" i="5"/>
  <c r="J50" i="5"/>
  <c r="J46" i="5"/>
  <c r="J44" i="5"/>
  <c r="J43" i="5"/>
  <c r="J42" i="5"/>
  <c r="J41" i="5"/>
  <c r="J40" i="5"/>
  <c r="J39" i="5"/>
  <c r="J38" i="5"/>
  <c r="J37" i="5"/>
  <c r="J36" i="5"/>
  <c r="J35" i="5"/>
  <c r="J34" i="5"/>
  <c r="J33" i="5"/>
  <c r="J32" i="5"/>
  <c r="J31" i="5"/>
  <c r="J30" i="5"/>
  <c r="J29" i="5"/>
  <c r="J27" i="5"/>
  <c r="J28" i="5"/>
  <c r="J26" i="5"/>
  <c r="J25" i="5"/>
  <c r="J24" i="5"/>
  <c r="J23" i="5"/>
  <c r="J22" i="5"/>
  <c r="J21" i="5"/>
  <c r="J20" i="5"/>
  <c r="J19" i="5"/>
  <c r="J18" i="5"/>
  <c r="J17" i="5"/>
  <c r="J16" i="5"/>
  <c r="J15" i="5"/>
  <c r="J14" i="5"/>
  <c r="J13" i="5"/>
  <c r="J12" i="5"/>
  <c r="J11" i="5"/>
  <c r="J7" i="5"/>
  <c r="J6" i="5"/>
  <c r="J5" i="5"/>
  <c r="J4" i="5"/>
  <c r="J10" i="5"/>
  <c r="J9" i="5"/>
  <c r="J8" i="5"/>
  <c r="K8" i="5"/>
  <c r="K9" i="5"/>
  <c r="K10" i="5"/>
  <c r="K11" i="5"/>
  <c r="K12" i="5"/>
  <c r="K13" i="5"/>
  <c r="K14" i="5"/>
  <c r="K15" i="5"/>
  <c r="K16" i="5"/>
  <c r="K17" i="5"/>
  <c r="K18" i="5"/>
  <c r="K19" i="5"/>
  <c r="K20" i="5"/>
  <c r="K21" i="5"/>
  <c r="K22" i="5"/>
  <c r="K23" i="5"/>
  <c r="K24" i="5"/>
  <c r="K25" i="5"/>
  <c r="K26" i="5"/>
  <c r="K27" i="5"/>
  <c r="K28" i="5"/>
  <c r="K29" i="5"/>
  <c r="K30" i="5"/>
  <c r="K31" i="5"/>
  <c r="K32" i="5"/>
  <c r="K33" i="5"/>
  <c r="K34" i="5"/>
  <c r="K35" i="5"/>
  <c r="K36" i="5"/>
  <c r="K37" i="5"/>
  <c r="K38" i="5"/>
  <c r="K39" i="5"/>
  <c r="K40" i="5"/>
  <c r="K41" i="5"/>
  <c r="K42" i="5"/>
  <c r="K43" i="5"/>
  <c r="K44" i="5"/>
  <c r="J45" i="5"/>
  <c r="K45" i="5"/>
  <c r="K46" i="5"/>
  <c r="J47" i="5"/>
  <c r="K47" i="5"/>
  <c r="J48" i="5"/>
  <c r="K48" i="5"/>
  <c r="J49" i="5"/>
  <c r="K49" i="5"/>
  <c r="K50" i="5"/>
  <c r="K51" i="5"/>
  <c r="K52" i="5"/>
  <c r="K53" i="5"/>
  <c r="J54" i="5"/>
  <c r="K54" i="5"/>
  <c r="J55" i="5"/>
  <c r="K55" i="5"/>
  <c r="J56" i="5"/>
  <c r="K56" i="5"/>
  <c r="J57" i="5"/>
  <c r="K57" i="5"/>
  <c r="J58" i="5"/>
  <c r="K58" i="5"/>
  <c r="J59" i="5"/>
  <c r="K59" i="5"/>
  <c r="J60" i="5"/>
  <c r="K60" i="5"/>
  <c r="J61" i="5"/>
  <c r="K61" i="5"/>
  <c r="J62" i="5"/>
  <c r="K62" i="5"/>
  <c r="J63" i="5"/>
  <c r="K63" i="5"/>
  <c r="J64" i="5"/>
  <c r="K64" i="5"/>
  <c r="J65" i="5"/>
  <c r="K65" i="5"/>
  <c r="K6" i="5"/>
  <c r="K7" i="5"/>
  <c r="K5" i="5"/>
  <c r="K4" i="5"/>
  <c r="J25" i="9" l="1"/>
  <c r="I25" i="9"/>
  <c r="H25" i="9"/>
  <c r="F28" i="9"/>
  <c r="F29" i="9" s="1"/>
  <c r="D29" i="9"/>
  <c r="D26" i="9"/>
  <c r="I27" i="7"/>
  <c r="H62" i="7"/>
  <c r="H61" i="7"/>
  <c r="E47" i="7"/>
  <c r="G47" i="7" s="1"/>
  <c r="I47" i="7" s="1"/>
  <c r="S26" i="7"/>
  <c r="S19" i="7"/>
  <c r="K25" i="9" l="1"/>
  <c r="G26" i="9"/>
  <c r="H26" i="9"/>
  <c r="K28" i="9"/>
  <c r="E48" i="7"/>
  <c r="G48" i="7" s="1"/>
  <c r="I48" i="7" s="1"/>
  <c r="H43" i="7"/>
  <c r="I26" i="9" l="1"/>
  <c r="J26" i="9"/>
  <c r="E49" i="7"/>
  <c r="G49" i="7"/>
  <c r="I49" i="7" s="1"/>
  <c r="H44" i="7"/>
  <c r="K26" i="9" l="1"/>
  <c r="E50" i="7"/>
  <c r="G50" i="7" s="1"/>
  <c r="I50" i="7" s="1"/>
  <c r="H45" i="7"/>
  <c r="E51" i="7" l="1"/>
  <c r="H46" i="7"/>
  <c r="E52" i="7" l="1"/>
  <c r="G52" i="7" s="1"/>
  <c r="G51" i="7"/>
  <c r="I51" i="7" s="1"/>
  <c r="H47" i="7"/>
  <c r="I52" i="7" l="1"/>
  <c r="H48" i="7"/>
  <c r="H49" i="7" l="1"/>
  <c r="H50" i="7" l="1"/>
  <c r="H51" i="7" l="1"/>
  <c r="H52" i="7" l="1"/>
  <c r="J41" i="7" l="1"/>
  <c r="J42" i="7" l="1"/>
  <c r="J43" i="7" l="1"/>
  <c r="J44" i="7" s="1"/>
  <c r="J45" i="7" s="1"/>
  <c r="J46" i="7" s="1"/>
  <c r="J47" i="7" s="1"/>
  <c r="J48" i="7" s="1"/>
  <c r="J49" i="7" s="1"/>
  <c r="J50" i="7" s="1"/>
  <c r="J51" i="7" s="1"/>
  <c r="J52" i="7" s="1"/>
  <c r="O37" i="7" l="1"/>
  <c r="D30" i="9" s="1"/>
  <c r="I30" i="9" l="1"/>
  <c r="J30" i="9"/>
  <c r="H30" i="9"/>
  <c r="G30" i="9"/>
  <c r="O38" i="7"/>
  <c r="D33" i="9" s="1"/>
  <c r="F33" i="9" s="1"/>
  <c r="K33" i="9" s="1"/>
  <c r="I53" i="7"/>
  <c r="K30" i="9" l="1"/>
  <c r="O53" i="7"/>
  <c r="M61" i="7" s="1"/>
  <c r="D31" i="9"/>
  <c r="I55" i="7"/>
  <c r="I31" i="9" l="1"/>
  <c r="J31" i="9"/>
  <c r="G31" i="9"/>
  <c r="H31" i="9"/>
  <c r="K31" i="9"/>
  <c r="D32" i="9"/>
  <c r="G32" i="9" s="1"/>
  <c r="O55" i="7"/>
  <c r="M62" i="7" s="1"/>
  <c r="D34" i="9"/>
  <c r="D18" i="9"/>
  <c r="I24" i="7"/>
  <c r="S25" i="7"/>
  <c r="J32" i="9" l="1"/>
  <c r="I32" i="9"/>
  <c r="J18" i="9"/>
  <c r="I18" i="9"/>
  <c r="G18" i="9"/>
  <c r="H18" i="9"/>
  <c r="H32" i="9"/>
  <c r="H36" i="9" s="1"/>
  <c r="D19" i="9"/>
  <c r="F34" i="9"/>
  <c r="D35" i="9"/>
  <c r="I59" i="7"/>
  <c r="I28" i="7"/>
  <c r="H59" i="7"/>
  <c r="I36" i="9" l="1"/>
  <c r="J36" i="9"/>
  <c r="I19" i="9"/>
  <c r="J19" i="9"/>
  <c r="F35" i="9"/>
  <c r="K34" i="9"/>
  <c r="H19" i="9"/>
  <c r="G19" i="9"/>
  <c r="K32" i="9"/>
  <c r="G36" i="9"/>
  <c r="K18" i="9"/>
  <c r="D21" i="9"/>
  <c r="D22" i="9" s="1"/>
  <c r="I60" i="7"/>
  <c r="H60" i="7"/>
  <c r="L59" i="7" s="1"/>
  <c r="Q61" i="7" s="1"/>
  <c r="K35" i="9" l="1"/>
  <c r="K19" i="9"/>
  <c r="D61" i="7"/>
  <c r="D62" i="7" s="1"/>
  <c r="F21" i="9"/>
  <c r="F36" i="9" s="1"/>
  <c r="D52" i="9"/>
  <c r="D53" i="9" s="1"/>
  <c r="K29" i="9" l="1"/>
  <c r="D42" i="9" s="1"/>
  <c r="K21" i="9"/>
  <c r="F22" i="9"/>
  <c r="K36" i="9" l="1"/>
  <c r="D40" i="9"/>
  <c r="D45" i="9" s="1"/>
  <c r="D46" i="9" s="1"/>
  <c r="K22" i="9"/>
  <c r="E41" i="9" l="1"/>
  <c r="D43" i="9" s="1"/>
  <c r="D50" i="9" s="1"/>
  <c r="N62" i="7"/>
  <c r="A47" i="9" s="1"/>
  <c r="D44" i="9"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tc={09B077D1-92E8-4903-903B-668E115EA779}</author>
  </authors>
  <commentList>
    <comment ref="C21" authorId="0" shapeId="0" xr:uid="{09B077D1-92E8-4903-903B-668E115EA779}">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6.2.2. Per i lavori in corso di esecuzione alla data di pubblicazione del DL76, qualora l’avanzamento dei lavori
eseguiti e contabilizzati sia superiore al 50% dell’importo di contratto, il gettone unico onnicomprensivo per
ciascun componente è ridotto del 30%.</t>
      </text>
    </comment>
  </commentList>
</comments>
</file>

<file path=xl/sharedStrings.xml><?xml version="1.0" encoding="utf-8"?>
<sst xmlns="http://schemas.openxmlformats.org/spreadsheetml/2006/main" count="590" uniqueCount="483">
  <si>
    <t>P</t>
  </si>
  <si>
    <t>G</t>
  </si>
  <si>
    <t>Pianificazione</t>
  </si>
  <si>
    <t>EDILIZIA</t>
  </si>
  <si>
    <t>IDRAULICA</t>
  </si>
  <si>
    <t>STRUTTURE</t>
  </si>
  <si>
    <t>TERRITORIO E URBANISTICA</t>
  </si>
  <si>
    <t>TAVOLA Z-1 “CATEGORIE DELLE OPERE - PARAMETRO DEL GRADO DI COMPLESSITA’ – CLASSIFICAZIONE DEI SERVIZI E CORRISPONDENZE”</t>
  </si>
  <si>
    <t>Corrispondenze</t>
  </si>
  <si>
    <t>IDENTIFICAZIONE DELLE OPERE</t>
  </si>
  <si>
    <t>Residenza</t>
  </si>
  <si>
    <t>Sanità, Istruzione, Ricerca</t>
  </si>
  <si>
    <r>
      <rPr>
        <sz val="6"/>
        <rFont val="Arial"/>
        <family val="2"/>
      </rPr>
      <t>Edifici rurali per l'attività agricola con corredi tecnici di tipo semplice (quali tettoie, depositi e ricoveri) - Edifici industriali o artigianali di importanza costruttiva corrente con corredi tecnici di base.</t>
    </r>
  </si>
  <si>
    <r>
      <rPr>
        <sz val="6"/>
        <rFont val="Arial"/>
        <family val="2"/>
      </rPr>
      <t>Edifici rurali per l'attività agricola con corredi tecnici di tipo complesso - Edifici industriali o artigianali con organizzazione e corredi tecnici di tipo complesso.</t>
    </r>
  </si>
  <si>
    <r>
      <rPr>
        <sz val="6"/>
        <rFont val="Arial"/>
        <family val="2"/>
      </rPr>
      <t>Ostelli, Pensioni, Case albergo – Ristoranti - Motel e stazioni di servizio - negozi - mercati coperti di tipo semplice</t>
    </r>
  </si>
  <si>
    <r>
      <rPr>
        <sz val="6"/>
        <rFont val="Arial"/>
        <family val="2"/>
      </rPr>
      <t>Alberghi, Villaggi turistici - Mercati e Centri commerciali complessi</t>
    </r>
  </si>
  <si>
    <r>
      <rPr>
        <sz val="6"/>
        <rFont val="Arial"/>
        <family val="2"/>
      </rPr>
      <t>Edifici, pertinenze, autorimesse semplici, senza particolari esigenze tecniche. Edifici provvisori di modesta importanza</t>
    </r>
  </si>
  <si>
    <r>
      <rPr>
        <sz val="6"/>
        <rFont val="Arial"/>
        <family val="2"/>
      </rPr>
      <t>Edilizia residenziale privata e pubblica di tipo corrente con costi di costruzione nella media di mercato e con tipologie standardizzate.</t>
    </r>
  </si>
  <si>
    <r>
      <rPr>
        <sz val="6"/>
        <rFont val="Arial"/>
        <family val="2"/>
      </rPr>
      <t>Edifici residenziali di tipo pregiato con costi di costruzione eccedenti la media di mercato e con tipologie diversificate.</t>
    </r>
  </si>
  <si>
    <r>
      <rPr>
        <sz val="6"/>
        <rFont val="Arial"/>
        <family val="2"/>
      </rPr>
      <t>Sede Azienda Sanitaria, Distretto sanitario, Ambulatori di base. Asilo Nido, Scuola Materna, Scuola elementare, Scuole secondarie di primo grado fino a 24 classi, Scuole secondarie di secondo grado fino a 25 classi</t>
    </r>
  </si>
  <si>
    <r>
      <rPr>
        <sz val="6"/>
        <rFont val="Arial"/>
        <family val="2"/>
      </rPr>
      <t>Scuole secondarie di primo grado oltre 24 classi-Istituti scolastici superiori oltre 25 classi- Case di cura</t>
    </r>
  </si>
  <si>
    <r>
      <rPr>
        <sz val="6"/>
        <rFont val="Arial"/>
        <family val="2"/>
      </rPr>
      <t>Poliambulatori, Ospedali, Istituti di ricerca, Centri di riabilitazione, Poli scolastici, Università, Accademie, Istituti di ricerca universitaria</t>
    </r>
  </si>
  <si>
    <r>
      <rPr>
        <sz val="6"/>
        <rFont val="Arial"/>
        <family val="2"/>
      </rPr>
      <t>Padiglioni provvisori per esposizioni - Costruzioni relative ad opere cimiteriali di tipo normale (colombari, ossari, loculari, edicole funerarie con caratteristiche costruttive semplici), Case parrocchiali, Oratori - Stabilimenti balneari - Aree ed attrezzature per lo sport all'aperto, Campo sportivo e servizi annessi, di tipo semplice</t>
    </r>
  </si>
  <si>
    <r>
      <rPr>
        <sz val="6"/>
        <rFont val="Arial"/>
        <family val="2"/>
      </rPr>
      <t>Aree ed attrezzature per lo sport all'aperto, Campo sportivo e servizi annessi, di tipo complesso- Palestre e piscine coperte</t>
    </r>
  </si>
  <si>
    <r>
      <rPr>
        <sz val="6"/>
        <rFont val="Arial"/>
        <family val="2"/>
      </rPr>
      <t>Biblioteca, Cinema, Teatro, Pinacoteca, Centro Culturale, Sede congressuale, Auditorium, Museo, Galleria d'arte, Discoteca, Studio radiofonico o televisivo o di produzione cinematografica - Opere cimiteriali di tipo monumentale, Monumenti commemorativi, Palasport, Stadio, Chiese</t>
    </r>
  </si>
  <si>
    <r>
      <rPr>
        <sz val="6"/>
        <rFont val="Arial"/>
        <family val="2"/>
      </rPr>
      <t>Edifici provvisori di modesta importanza a servizio di caserme</t>
    </r>
  </si>
  <si>
    <r>
      <rPr>
        <sz val="6"/>
        <rFont val="Arial"/>
        <family val="2"/>
      </rPr>
      <t>Caserme con corredi tecnici di importanza corrente</t>
    </r>
  </si>
  <si>
    <r>
      <rPr>
        <sz val="6"/>
        <rFont val="Arial"/>
        <family val="2"/>
      </rPr>
      <t>Sedi ed Uffici di Società ed Enti, Sedi ed Uffici comunali, Sedi ed Uffici provinciali, Sedi ed Uffici regionali, Sedi ed Uffici ministeriali, Pretura, Tribunale, Palazzo di giustizia, Penitenziari, Caserme con corredi tecnici di importanza maggiore, Questura</t>
    </r>
  </si>
  <si>
    <r>
      <rPr>
        <sz val="6"/>
        <rFont val="Arial"/>
        <family val="2"/>
      </rPr>
      <t>Verde  ed opere di arredo urbano improntate a grande semplicità, pertinenziali agli edifici ed alla viabilità, Campeggi e simili</t>
    </r>
  </si>
  <si>
    <r>
      <rPr>
        <sz val="6"/>
        <rFont val="Arial"/>
        <family val="2"/>
      </rPr>
      <t>Arredamenti con elementi acquistati dal mercato, Giardini, Parchi gioco, Piazze e spazi pubblici all’aperto</t>
    </r>
  </si>
  <si>
    <r>
      <rPr>
        <sz val="6"/>
        <rFont val="Arial"/>
        <family val="2"/>
      </rPr>
      <t>Arredamenti con elementi singolari, Parchi urbani, Parchi ludici attrezzati, Giardini e piazze storiche, Opere di riqualificazione paesaggistica e ambientale di aree urbane.</t>
    </r>
  </si>
  <si>
    <r>
      <rPr>
        <sz val="6"/>
        <rFont val="Arial"/>
        <family val="2"/>
      </rPr>
      <t>Interventi di manutenzione straordinaria, ristrutturazione, riqualificazione, su edifici e manufatti esistenti</t>
    </r>
  </si>
  <si>
    <r>
      <rPr>
        <sz val="6"/>
        <rFont val="Arial"/>
        <family val="2"/>
      </rPr>
      <t>Interventi di manutenzione, restauro, risanamento conservativo, riqualificazione, su edifici e manufatti di interesse storico artistico soggetti</t>
    </r>
  </si>
  <si>
    <r>
      <rPr>
        <sz val="6"/>
        <rFont val="Arial"/>
        <family val="2"/>
      </rPr>
      <t>Strutture o parti di strutture in cemento armato, non soggette ad azioni sismiche - riparazione o intervento locale - Verifiche strutturali  relative - Ponteggi, centinature e strutture provvisionali di durata inferiore a due anni</t>
    </r>
  </si>
  <si>
    <r>
      <rPr>
        <sz val="6"/>
        <rFont val="Arial"/>
        <family val="2"/>
      </rPr>
      <t>Strutture o parti di strutture in cemento armato - Verifiche strutturali relative - Ponteggi, centinature e strutture provvisionali di durata superiore a due anni.</t>
    </r>
  </si>
  <si>
    <r>
      <rPr>
        <sz val="6"/>
        <rFont val="Arial"/>
        <family val="2"/>
      </rPr>
      <t>Strutture o parti di strutture in  muratura, legno, metallo - Verifiche strutturali relative - Consolidamento delle opere di fondazione di manufatti dissestati - Ponti,  Paratie e tiranti, Consolidamento di pendii e di fronti rocciosi ed opere connesse, di tipo corrente -  Verifiche strutturali relative.</t>
    </r>
  </si>
  <si>
    <r>
      <rPr>
        <sz val="6"/>
        <rFont val="Arial"/>
        <family val="2"/>
      </rPr>
      <t>Dighe, Conche, Elevatori, Opere di ritenuta  e di difesa, rilevati, colmate. Gallerie, Opere sotterranee e subacquee, Fondazioni speciali.</t>
    </r>
  </si>
  <si>
    <r>
      <rPr>
        <sz val="6"/>
        <rFont val="Arial"/>
        <family val="2"/>
      </rPr>
      <t>Impianti  per l'approvvigionamento, la preparazione e la distribuzione di acqua nell'interno di edifici o per scopi industriali - Impianti sanitari - Impianti di fognatura domestica od industriale ed opere relative al trattamento delle acque di rifiuto - Reti di distribuzione di combustibili liquidi o gassosi - Impianti per la distribuzione dell’aria compressa del vuoto e di gas medicali - Impianti e reti antincendio</t>
    </r>
  </si>
  <si>
    <r>
      <rPr>
        <sz val="6"/>
        <rFont val="Arial"/>
        <family val="2"/>
      </rPr>
      <t>Impianti di riscaldamento - Impianto di raffrescamento, climatizzazione, trattamento dell’aria - Impianti meccanici di distribuzione fluidi - Impianto solare termico</t>
    </r>
  </si>
  <si>
    <r>
      <rPr>
        <sz val="6"/>
        <rFont val="Arial"/>
        <family val="2"/>
      </rPr>
      <t>Impianti elettrici in genere, impianti di illuminazione, telefonici, di rivelazione incendi, fotovoltaici, a corredo di edifici e costruzioni di importanza corrente - singole apparecchiature per laboratori e impianti pilota di tipo semplice</t>
    </r>
  </si>
  <si>
    <r>
      <rPr>
        <sz val="6"/>
        <rFont val="Arial"/>
        <family val="2"/>
      </rPr>
      <t>Impianti elettrici in genere, impianti di illuminazione, telefonici, di sicurezza , di rivelazione incendi , fotovoltaici, a corredo di edifici e costruzioni complessi - cablaggi strutturati - impianti in fibra ottica - singole apparecchiature per laboratori e impianti pilota di tipo complesso</t>
    </r>
  </si>
  <si>
    <r>
      <rPr>
        <sz val="6"/>
        <rFont val="Arial"/>
        <family val="2"/>
      </rPr>
      <t>Depositi e discariche senza trattamento dei rifiuti.</t>
    </r>
  </si>
  <si>
    <r>
      <rPr>
        <sz val="6"/>
        <rFont val="Arial"/>
        <family val="2"/>
      </rPr>
      <t>Impianti per le industrie molitorie, cartarie, alimentari, delle fibre tessili naturali, del legno, del cuoio e simili.</t>
    </r>
  </si>
  <si>
    <t>DM 18/11/1971</t>
  </si>
  <si>
    <t>DM 232/1991</t>
  </si>
  <si>
    <r>
      <rPr>
        <b/>
        <sz val="8"/>
        <rFont val="Arial"/>
        <family val="2"/>
      </rPr>
      <t>CATEGORIA</t>
    </r>
  </si>
  <si>
    <r>
      <rPr>
        <b/>
        <sz val="8"/>
        <rFont val="Arial"/>
        <family val="2"/>
      </rPr>
      <t>DESTINAZIONE FUNZIONALE</t>
    </r>
  </si>
  <si>
    <r>
      <rPr>
        <b/>
        <sz val="8"/>
        <rFont val="Arial"/>
        <family val="2"/>
      </rPr>
      <t>ID.
Opere</t>
    </r>
  </si>
  <si>
    <r>
      <rPr>
        <b/>
        <sz val="8"/>
        <rFont val="Arial"/>
        <family val="2"/>
      </rPr>
      <t>Gradi
di complessità</t>
    </r>
  </si>
  <si>
    <r>
      <rPr>
        <b/>
        <sz val="8"/>
        <rFont val="Arial"/>
        <family val="2"/>
      </rPr>
      <t>l.143/49
Classi e categorie</t>
    </r>
  </si>
  <si>
    <t>Insediamenti Produttivi Agricoltura-Industria- Artigianato</t>
  </si>
  <si>
    <t>E.01</t>
  </si>
  <si>
    <t>I/a I/b</t>
  </si>
  <si>
    <t>I/b</t>
  </si>
  <si>
    <t>E.02</t>
  </si>
  <si>
    <t>I/c</t>
  </si>
  <si>
    <t>Industria Alberghiera, Turismo e Commercio e Servizi per la Mobilità</t>
  </si>
  <si>
    <t>E.03</t>
  </si>
  <si>
    <t>E.04</t>
  </si>
  <si>
    <t>I/d</t>
  </si>
  <si>
    <t>E.05</t>
  </si>
  <si>
    <t>E.06</t>
  </si>
  <si>
    <t>E.07</t>
  </si>
  <si>
    <t>E.08</t>
  </si>
  <si>
    <t>E.09</t>
  </si>
  <si>
    <t>E.10</t>
  </si>
  <si>
    <t>Cultura, Vita Sociale, Sport, Culto</t>
  </si>
  <si>
    <t>E.11</t>
  </si>
  <si>
    <t>E.12</t>
  </si>
  <si>
    <t>E.13</t>
  </si>
  <si>
    <t>Sedi amministrative, giudiziarie, delle forze dell'ordine</t>
  </si>
  <si>
    <t>E.14</t>
  </si>
  <si>
    <t>E.15</t>
  </si>
  <si>
    <t>E.16</t>
  </si>
  <si>
    <t>Arredi, Forniture, Aree esterne pertinenziali allestite</t>
  </si>
  <si>
    <t>E.17</t>
  </si>
  <si>
    <t>E.18</t>
  </si>
  <si>
    <t>E.19</t>
  </si>
  <si>
    <t>Edifici e manufatti esistenti</t>
  </si>
  <si>
    <t>E.20</t>
  </si>
  <si>
    <t>E.21</t>
  </si>
  <si>
    <t>E.22</t>
  </si>
  <si>
    <t>I/e</t>
  </si>
  <si>
    <t>Strutture, Opere infrastrutturali puntuali, non soggette ad azioni sismiche, ai sensi delle Norme Tecniche per le Costruzioni</t>
  </si>
  <si>
    <t>S.01</t>
  </si>
  <si>
    <t>I/f</t>
  </si>
  <si>
    <t>S.02</t>
  </si>
  <si>
    <t>IX/a</t>
  </si>
  <si>
    <t>III</t>
  </si>
  <si>
    <t>Strutture, Opere infrastrutturali puntuali</t>
  </si>
  <si>
    <t>S.03</t>
  </si>
  <si>
    <t>I/g</t>
  </si>
  <si>
    <t>S.04</t>
  </si>
  <si>
    <t>IX/b</t>
  </si>
  <si>
    <t>Strutture speciali</t>
  </si>
  <si>
    <t>S.05</t>
  </si>
  <si>
    <t>IX/b IX/c</t>
  </si>
  <si>
    <t>S.06</t>
  </si>
  <si>
    <t>I/g IX/c</t>
  </si>
  <si>
    <t>Impianti meccanici a fluido a servizio delle costruzioni</t>
  </si>
  <si>
    <t>IA.01</t>
  </si>
  <si>
    <t>III/a</t>
  </si>
  <si>
    <t>IA.02</t>
  </si>
  <si>
    <t>III/b</t>
  </si>
  <si>
    <t>Impianti elettrici e speciali a servizio delle costruzioni - Singole apparecchiature per laboratori e impianti pilota</t>
  </si>
  <si>
    <t>IA.03</t>
  </si>
  <si>
    <t>III/c</t>
  </si>
  <si>
    <t>IA.04</t>
  </si>
  <si>
    <t>Impianti industriali - Impianti pilota e impianti di depurazione con ridotte problematiche tecniche - Discariche inerti</t>
  </si>
  <si>
    <t>IB.04</t>
  </si>
  <si>
    <t>II/a</t>
  </si>
  <si>
    <t>IB.05</t>
  </si>
  <si>
    <t>II/b</t>
  </si>
  <si>
    <r>
      <rPr>
        <sz val="8"/>
        <rFont val="Arial"/>
        <family val="2"/>
      </rPr>
      <t>I/b</t>
    </r>
    <r>
      <rPr>
        <vertAlign val="superscript"/>
        <sz val="8"/>
        <rFont val="Arial"/>
        <family val="2"/>
      </rPr>
      <t>1</t>
    </r>
  </si>
  <si>
    <t>IMPIANTI (1)</t>
  </si>
  <si>
    <t>(1) Per quanto riguarda gli impianti a servizio dei manufatti edilizi e/o industriali, il loro importo va sommato a quello delle opere edili</t>
  </si>
  <si>
    <r>
      <rPr>
        <sz val="6"/>
        <rFont val="Arial"/>
        <family val="2"/>
      </rPr>
      <t>Impianti della industria chimica inorganica - Impianti della preparazione e distillazione dei combustibili - Impianti siderurgici - Officine meccaniche e laboratori - Cantieri navali - Fabbriche di cemento, calce, laterizi, vetrerie e ceramiche - Impianti per le industrie della fermentazione, chimico-alimentari e tintorie - Impianti termovalorizzatori e impianti di trattamento dei rifiuti - Impianti della industria chimica organica - Impianti della piccola industria chimica speciale - Impianti di metallurgia (esclusi quelli relativi al ferro) - Impianti per la preparazione ed il trattamento dei minerali per la sistemazione e coltivazione delle cave e miniere.</t>
    </r>
  </si>
  <si>
    <r>
      <rPr>
        <sz val="6"/>
        <rFont val="Arial"/>
        <family val="2"/>
      </rPr>
      <t>Gli impianti precedentemente esposti quando siano di complessità particolarmente rilevante o comportanti rischi e problematiche ambientali molto rilevanti</t>
    </r>
  </si>
  <si>
    <r>
      <rPr>
        <sz val="6"/>
        <rFont val="Arial"/>
        <family val="2"/>
      </rPr>
      <t>Impianti di linee e reti per trasmissioni e distribuzione di energia elettrica, telegrafia, telefonia.</t>
    </r>
  </si>
  <si>
    <r>
      <rPr>
        <sz val="6"/>
        <rFont val="Arial"/>
        <family val="2"/>
      </rPr>
      <t>Centrali idroelettriche ordinarie - Stazioni di trasformazioni e di conversione impianti di trazione elettrica</t>
    </r>
  </si>
  <si>
    <r>
      <rPr>
        <sz val="6"/>
        <rFont val="Arial"/>
        <family val="2"/>
      </rPr>
      <t>Impianti termoelettrici-Impianti dell'elettrochimica - Impianti della elettrometallurgia - Laboratori con ridotte problematiche tecniche</t>
    </r>
  </si>
  <si>
    <r>
      <rPr>
        <sz val="6"/>
        <rFont val="Arial"/>
        <family val="2"/>
      </rPr>
      <t>Campi fotovoltaici - Parchi eolici</t>
    </r>
  </si>
  <si>
    <r>
      <rPr>
        <sz val="6"/>
        <rFont val="Arial"/>
        <family val="2"/>
      </rPr>
      <t>Micro Centrali idroelettriche-Impianti termoelettrici-Impianti della elettrometallurgia di tipo complesso</t>
    </r>
  </si>
  <si>
    <t>IB.06</t>
  </si>
  <si>
    <t>IB.07</t>
  </si>
  <si>
    <t>II/c</t>
  </si>
  <si>
    <r>
      <rPr>
        <sz val="8"/>
        <rFont val="Arial"/>
        <family val="2"/>
      </rPr>
      <t>I/b</t>
    </r>
  </si>
  <si>
    <t>Impianti industriali – Impianti pilota e impianti di depurazione complessi -Discariche con trattamenti e termovalorizzatori</t>
  </si>
  <si>
    <t>IB.08</t>
  </si>
  <si>
    <t>IV/c</t>
  </si>
  <si>
    <t>IB.09</t>
  </si>
  <si>
    <t>IV/b</t>
  </si>
  <si>
    <t>IB.10</t>
  </si>
  <si>
    <t>IV/a</t>
  </si>
  <si>
    <t>IB.11</t>
  </si>
  <si>
    <t>IB.12</t>
  </si>
  <si>
    <t>Opere elettriche per reti di trasmissione e distribuzione energia e segnali – Laboratori con ridotte problematiche tecniche</t>
  </si>
  <si>
    <t>Impianti per la produzione di energia– Laboratori complessi</t>
  </si>
  <si>
    <r>
      <rPr>
        <sz val="6"/>
        <rFont val="Arial"/>
        <family val="2"/>
      </rPr>
      <t>Interventi di manutenzione su viabilità ordinaria</t>
    </r>
  </si>
  <si>
    <r>
      <rPr>
        <sz val="6"/>
        <rFont val="Arial"/>
        <family val="2"/>
      </rPr>
      <t>Strade, linee tramviarie, ferrovie, strade ferrate, di tipo ordinario, escluse le opere d'arte da compensarsi a parte - Piste ciclabili</t>
    </r>
  </si>
  <si>
    <r>
      <rPr>
        <sz val="6"/>
        <rFont val="Arial"/>
        <family val="2"/>
      </rPr>
      <t>Strade, linee tramviarie, ferrovie, strade ferrate, con particolari difficoltà di studio, escluse le opere d'arte e le stazioni, da compensarsi a parte. - Impianti teleferici e funicolari - Piste aeroportuali e simili.</t>
    </r>
  </si>
  <si>
    <r>
      <rPr>
        <sz val="6"/>
        <rFont val="Arial"/>
        <family val="2"/>
      </rPr>
      <t>Opere di navigazione interna e portuali</t>
    </r>
  </si>
  <si>
    <r>
      <rPr>
        <sz val="6"/>
        <rFont val="Arial"/>
        <family val="2"/>
      </rPr>
      <t>Bonifiche ed irrigazioni a deflusso naturale, sistemazione di corsi d'acqua e di bacini montani</t>
    </r>
  </si>
  <si>
    <r>
      <rPr>
        <sz val="6"/>
        <rFont val="Arial"/>
        <family val="2"/>
      </rPr>
      <t>Bonifiche ed irrigazioni con sollevamento meccanico di acqua (esclusi i macchinari) - Derivazioni d'acqua per forza motrice e produzione di energia elettrica.</t>
    </r>
  </si>
  <si>
    <r>
      <rPr>
        <sz val="6"/>
        <rFont val="Arial"/>
        <family val="2"/>
      </rPr>
      <t>Impianti per provvista, condotta, distribuzione d'acqua, improntate a grande semplicità - Fognature urbane improntate a grande semplicità - Condotte subacquee in genere, metanodotti e  gasdotti, di tipo ordinario</t>
    </r>
  </si>
  <si>
    <r>
      <rPr>
        <sz val="6"/>
        <rFont val="Arial"/>
        <family val="2"/>
      </rPr>
      <t>Impianti per provvista, condotta, distribuzione d'acqua - Fognature urbane - Condotte subacquee in genere, metanodotti e  gasdotti, con problemi tecnici di tipo speciale.</t>
    </r>
  </si>
  <si>
    <r>
      <rPr>
        <sz val="6"/>
        <rFont val="Arial"/>
        <family val="2"/>
      </rPr>
      <t>Sistemi informativi, gestione elettronica del flusso documentale, dematerializzazione e gestione archivi, ingegnerizzazione dei processi, sistemi di gestione delle attività produttive, Data center, server farm.</t>
    </r>
  </si>
  <si>
    <r>
      <rPr>
        <sz val="6"/>
        <rFont val="Arial"/>
        <family val="2"/>
      </rPr>
      <t>Reti locali e geografiche, cablaggi strutturati, impianti in fibra ottica, Impianti di videosorveglianza, controllo accessi, identificazione targhe di veicoli ecc Sistemi wireless, reti wifi, ponti radio.</t>
    </r>
  </si>
  <si>
    <r>
      <rPr>
        <sz val="6"/>
        <rFont val="Arial"/>
        <family val="2"/>
      </rPr>
      <t>Elettronica Industriale Sistemi a controllo numerico, Sistemi di automazione, Robotica.</t>
    </r>
  </si>
  <si>
    <r>
      <rPr>
        <sz val="6"/>
        <rFont val="Arial"/>
        <family val="2"/>
      </rPr>
      <t>Opere relative alla sistemazione di ecosistemi naturali o naturalizzati, alle aree naturali protette ed alle aree a rilevanza faunistica. Opere relative al restauro paesaggistico di territori compromessi ed agli interventi su elementi strutturali  del paesaggio. Opere di configurazione di assetto paesaggistico.</t>
    </r>
  </si>
  <si>
    <r>
      <rPr>
        <sz val="6"/>
        <rFont val="Arial"/>
        <family val="2"/>
      </rPr>
      <t>Opere a verde sia su piccola scala o grande scala dove la rilevanza dell’opera è prevalente rispetto alle opere di tipo costruttivo.</t>
    </r>
  </si>
  <si>
    <r>
      <rPr>
        <sz val="6"/>
        <rFont val="Arial"/>
        <family val="2"/>
      </rPr>
      <t>Opere di riqualificazione e risanamento di ambiti naturali, rurali e forestali o urbani finalizzati al ripristino delle condizioni originarie, al riassetto delle componenti  biotiche ed abiotiche.</t>
    </r>
  </si>
  <si>
    <r>
      <rPr>
        <sz val="6"/>
        <rFont val="Arial"/>
        <family val="2"/>
      </rPr>
      <t>Opere di utilizzazione di bacini estrattivi a parete o a fossa</t>
    </r>
  </si>
  <si>
    <r>
      <rPr>
        <sz val="6"/>
        <rFont val="Arial"/>
        <family val="2"/>
      </rPr>
      <t>Opere di assetto ed utilizzazione forestale nonché dell’impiego ai fini industriali, energetici ed ambientali. Piste forestali, strade forestali– percorsi naturalistici, aree di sosta e di stazionamento dei mezzi forestali. Meccanizzazione forestale</t>
    </r>
  </si>
  <si>
    <r>
      <rPr>
        <sz val="6"/>
        <rFont val="Arial"/>
        <family val="2"/>
      </rPr>
      <t>Opere di intervento per la realizzazione di infrastrutture e di miglioramento dell’assetto rurale.</t>
    </r>
  </si>
  <si>
    <r>
      <rPr>
        <sz val="6"/>
        <rFont val="Arial"/>
        <family val="2"/>
      </rPr>
      <t>Opere ed infrastrutture complesse, anche a carattere immateriale, volte a migliorare l’assetto del territorio rurale per favorire lo sviluppo dei processi agricoli e zootecnici. Opere e strutture per la valorizzazione delle filiere (produzione, trasformazione e commercializzazione delle produzioni agricole e agroalimentari)</t>
    </r>
  </si>
  <si>
    <r>
      <rPr>
        <sz val="6"/>
        <rFont val="Arial"/>
        <family val="2"/>
      </rPr>
      <t>Interventi di valorizzazione degli ambiti naturali sia di tipo vegetazionale che faunistico</t>
    </r>
  </si>
  <si>
    <r>
      <rPr>
        <sz val="6"/>
        <rFont val="Arial"/>
        <family val="2"/>
      </rPr>
      <t>Strumenti di pianificazione generale ed attuativa e di pianificazione di settore</t>
    </r>
  </si>
  <si>
    <t>Manutenzione</t>
  </si>
  <si>
    <t>Viabilità ordinaria</t>
  </si>
  <si>
    <t>Viabilità speciale</t>
  </si>
  <si>
    <t>Navigazione</t>
  </si>
  <si>
    <t>Opere di bonifica e derivazioni</t>
  </si>
  <si>
    <t>Acquedotti e fognature</t>
  </si>
  <si>
    <t>INFRASTRUTTURE 
PER LA MOBILITA’</t>
  </si>
  <si>
    <t>TECNOLOGIE DELLA INFORMAZIONE E DELLA COMUNICAZI ONE</t>
  </si>
  <si>
    <t>PAESAGGIO, AMBIENTE, NATURALIZZAZIONE, AGROALIMENTARE, ZOOTECNICA, RURALITA’, FORESTE</t>
  </si>
  <si>
    <t>Sistemi informativi</t>
  </si>
  <si>
    <t>Sistemi e reti di telecomunicazione</t>
  </si>
  <si>
    <t>Sistemi elettronici ed automazione</t>
  </si>
  <si>
    <t>Interventi di sistemazione naturalistica o paesaggistica</t>
  </si>
  <si>
    <t>Interventi del verde e opere per attività ricreativa o sportiva</t>
  </si>
  <si>
    <t>Interventi recupero, riqualificazione ambientale</t>
  </si>
  <si>
    <t>Interventi di sfruttamento di cave e torbiere</t>
  </si>
  <si>
    <t>Interventi di miglioramento e qualificazione della filiera forestale</t>
  </si>
  <si>
    <t>Interventi di miglioramento fondiario agrario e rurale; interventi di pianificazione alimentare</t>
  </si>
  <si>
    <t>Interventi per la valorizzazione delle filiere produttive agroalimentari e zootecniche; interventi di controllo – vigilanza alimentare</t>
  </si>
  <si>
    <t>Interventi per la valorizzazione della filiera naturalistica e faunistica</t>
  </si>
  <si>
    <t>V.01</t>
  </si>
  <si>
    <t>VI/a</t>
  </si>
  <si>
    <t>V.02</t>
  </si>
  <si>
    <t>V.03</t>
  </si>
  <si>
    <t>VI/b</t>
  </si>
  <si>
    <t>D.01</t>
  </si>
  <si>
    <t>VII/c</t>
  </si>
  <si>
    <t>D.02</t>
  </si>
  <si>
    <t>VII/a</t>
  </si>
  <si>
    <t>D.03</t>
  </si>
  <si>
    <t>VII/b</t>
  </si>
  <si>
    <t>D.04</t>
  </si>
  <si>
    <t>VIII</t>
  </si>
  <si>
    <t>D.05</t>
  </si>
  <si>
    <t>T.01</t>
  </si>
  <si>
    <t>T.02</t>
  </si>
  <si>
    <t>T.03</t>
  </si>
  <si>
    <t>P.01</t>
  </si>
  <si>
    <t>Parte IV sez. I</t>
  </si>
  <si>
    <t>P.02</t>
  </si>
  <si>
    <t>Parte IV sez I</t>
  </si>
  <si>
    <t>P.03</t>
  </si>
  <si>
    <t>Parte IV sezione I</t>
  </si>
  <si>
    <t>P.04</t>
  </si>
  <si>
    <t>Parte I sez III</t>
  </si>
  <si>
    <t>P.05</t>
  </si>
  <si>
    <r>
      <rPr>
        <sz val="8"/>
        <rFont val="Arial"/>
        <family val="2"/>
      </rPr>
      <t>Cat II sez IV
Cat III sez II –III –
Parte III sez. II</t>
    </r>
  </si>
  <si>
    <t>P.06</t>
  </si>
  <si>
    <r>
      <rPr>
        <sz val="8"/>
        <rFont val="Arial"/>
        <family val="2"/>
      </rPr>
      <t>Cat II sez II –III –
Parte IV sez. VI</t>
    </r>
  </si>
  <si>
    <t>U.01</t>
  </si>
  <si>
    <t>Parte III – sez. I -</t>
  </si>
  <si>
    <t>U.02</t>
  </si>
  <si>
    <t>U.03</t>
  </si>
  <si>
    <t>Paesaggio, Ambiente, Naturalizzazione, Agroalimentare, Zootecnica, Ruralità, Foreste</t>
  </si>
  <si>
    <t>Interventi di manutenzione straordinaria, restauro, ristrutturazione, riqualificazione, su edifici e manufatti di interesse storico artistico non soggetti</t>
  </si>
  <si>
    <t>Strutture o parti di strutture in muratura, legno, metallo, non soggette ad azioni sismiche - riparazione o intervento locale - Verifiche strutturali relative.</t>
  </si>
  <si>
    <t>Opere strutturali di notevole importanza costruttiva e richiedenti calcolazioni particolari - Verifiche strutturali relative - Strutture con metodologie normative che richiedono modellazione particolare: edifici alti con necessità di valutazioni di secondo ordine.</t>
  </si>
  <si>
    <t>A</t>
  </si>
  <si>
    <t>B</t>
  </si>
  <si>
    <t>Parametro base</t>
  </si>
  <si>
    <t>E.16-Sedi amministrative, giudiziarie, delle forze dell'ordine-Edifici di importanza maggiore</t>
  </si>
  <si>
    <t>S.03-Strutture, Opere infrastrutturali puntuali-Strutture in c.a. soggette ad azione sismica</t>
  </si>
  <si>
    <t>IA.03-Impianti elettrici e speciali a servizio delle costruzioni - Singole apparecchiature per laboratori e impianti pilota-Impianti di tipo semplice</t>
  </si>
  <si>
    <t>IA.02-Impianti meccanici a fluido a servizio delle costruzioni-Impianti di riscaldamento e raffrescamento</t>
  </si>
  <si>
    <t>IA.01-Impianti meccanici a fluido a servizio delle costruzioni-Impianti idrici e fognari all'interno di edifici domestici o industriali, Reti per combustibili e gas, Impianti antincendio</t>
  </si>
  <si>
    <t>E.15-Sedi amministrative, giudiziarie, delle forze dell'ordine-Edifici di importanza corrente</t>
  </si>
  <si>
    <t>E.17-Arredi, Forniture, Aree esterne pertinenziali allestite-Opere semplici</t>
  </si>
  <si>
    <t>S.02-Strutture, Opere infrastrutturali puntuali, non soggette ad azioni sismiche, ai sensi delle Norme Tecniche per le Costruzioni-Strutture in muratura, legno e metallo non soggette ad azioni sismiche</t>
  </si>
  <si>
    <t>E.01-Insediamenti Produttivi Agricoltura-Industria- Artigianato-Edifici semplici</t>
  </si>
  <si>
    <t>E.02-Insediamenti Produttivi Agricoltura-Industria- Artigianato-Edifici complessi</t>
  </si>
  <si>
    <t>E.03-Industria Alberghiera, Turismo e Commercio e Servizi per la Mobilità-Edifici semplici</t>
  </si>
  <si>
    <t>E.04-Industria Alberghiera, Turismo e Commercio e Servizi per la Mobilità-Edifici complessi</t>
  </si>
  <si>
    <t>E.05-Residenza-Edifici semplici</t>
  </si>
  <si>
    <t>E.06-Residenza-Edifici correnti</t>
  </si>
  <si>
    <t>E.07-Residenza-Edifici pregiati</t>
  </si>
  <si>
    <t>E.08-Sanità, Istruzione, Ricerca-Edifici semplici</t>
  </si>
  <si>
    <t>E.09-Sanità, Istruzione, Ricerca-Edifici correnti</t>
  </si>
  <si>
    <t>E.10-Sanità, Istruzione, Ricerca-Edifici complessi</t>
  </si>
  <si>
    <t>E.11-Cultura, Vita Sociale, Sport, Culto-Edifici semplici</t>
  </si>
  <si>
    <t>E.12-Cultura, Vita Sociale, Sport, Culto-Edifici correnti</t>
  </si>
  <si>
    <t>E.13-Cultura, Vita Sociale, Sport, Culto-Edifici complessi</t>
  </si>
  <si>
    <t>E.14-Sedi amministrative, giudiziarie, delle forze dell'ordine-Edifici di modesta importanza</t>
  </si>
  <si>
    <t>E.18-Arredi, Forniture, Aree esterne pertinenziali allestite-Opere correnti</t>
  </si>
  <si>
    <t>E.19-Arredi, Forniture, Aree esterne pertinenziali allestite-Opere complesse</t>
  </si>
  <si>
    <t>E.20-Edifici e manufatti esistenti-Manutenzione straordinaria su edifici esistenti</t>
  </si>
  <si>
    <t>E.21-Edifici e manufatti esistenti-Manutenzione straordinaria su edifici di interesse storico non soggetti</t>
  </si>
  <si>
    <t>E.22-Edifici e manufatti esistenti-Manutenzione straordinaria su edifici di interesse storico soggetti</t>
  </si>
  <si>
    <t>S.01-Strutture, Opere infrastrutturali puntuali, non soggette ad azioni sismiche, ai sensi delle Norme Tecniche per le Costruzioni-Strutture in c.a. non soggette ad azione sismica e temporanee</t>
  </si>
  <si>
    <t>S.04-Strutture, Opere infrastrutturali puntuali-Strutture in muratura, legno e metallo soggette ad azioni sismiche, Consolidamenti, Paratie, Ponti, ecc.</t>
  </si>
  <si>
    <t>S.05-Strutture speciali-Dighe, Conche, Elevatori, Opere di ritenuta  e di difesa, rilevati, colmate. Gallerie, Opere sotterranee e subacquee, Fondazioni speciali.</t>
  </si>
  <si>
    <t>S.06-Strutture speciali-Opere strutturali di notevole importanza costruttiva e richiedenti calcolazioni particolari</t>
  </si>
  <si>
    <t>IA.04-Impianti elettrici e speciali a servizio delle costruzioni - Singole apparecchiature per laboratori e impianti pilota-Impianti di tipo complesso</t>
  </si>
  <si>
    <t>IB.04-Impianti industriali - Impianti pilota e impianti di depurazione con ridotte problematiche tecniche - Discariche inerti-Depositi e discariche senza trattamento dei rifiuti.</t>
  </si>
  <si>
    <t>IB.05-Impianti industriali - Impianti pilota e impianti di depurazione con ridotte problematiche tecniche - Discariche inerti-Impianti per le industrie molitorie, cartarie, alimentari, delle fibre tessili naturali, del legno, del cuoio e simili.</t>
  </si>
  <si>
    <t>IB.06-Impianti industriali – Impianti pilota e impianti di depurazione complessi -Discariche con trattamenti e termovalorizzatori-Impianti industriali correnti</t>
  </si>
  <si>
    <t>IB.07-Impianti industriali – Impianti pilota e impianti di depurazione complessi -Discariche con trattamenti e termovalorizzatori-Impianti industriali complessi</t>
  </si>
  <si>
    <t>IB.08-Opere elettriche per reti di trasmissione e distribuzione energia e segnali – Laboratori con ridotte problematiche tecniche-Impianti di linee e reti per trasmissioni e distribuzione di energia elettrica, telegrafia, telefonia.</t>
  </si>
  <si>
    <t>IB.09-Opere elettriche per reti di trasmissione e distribuzione energia e segnali – Laboratori con ridotte problematiche tecniche-Centrali idroelettriche ordinarie - Stazioni di trasformazioni e di conversione impianti di trazione elettrica</t>
  </si>
  <si>
    <t>IB.10-Opere elettriche per reti di trasmissione e distribuzione energia e segnali – Laboratori con ridotte problematiche tecniche-Impianti termoelettrici-Impianti dell'elettrochimica - Impianti della elettrometallurgia - Laboratori con ridotte problematiche tecniche</t>
  </si>
  <si>
    <t>IB.11-Impianti per la produzione di energia– Laboratori complessi-Campi fotovoltaici - Parchi eolici</t>
  </si>
  <si>
    <t>IB.12-Impianti per la produzione di energia– Laboratori complessi-Micro Centrali idroelettriche-Impianti termoelettrici-Impianti della elettrometallurgia di tipo complesso</t>
  </si>
  <si>
    <t>V.01-Manutenzione</t>
  </si>
  <si>
    <t>V.02-Viabilità ordinaria</t>
  </si>
  <si>
    <t>V.03-Viabilità speciale</t>
  </si>
  <si>
    <t>D.01-Navigazione</t>
  </si>
  <si>
    <t>D.02-Opere di bonifica e derivazioni-Bonifiche ed irrigazioni a deflusso naturale, sistemazione di corsi d'acqua e di bacini montani</t>
  </si>
  <si>
    <t>D.03-Opere di bonifica e derivazioni-Bonifiche ed irrigazioni con sollevamento meccanico di acqua (esclusi i macchinari) - Derivazioni d'acqua per forza motrice e produzione di energia elettrica.</t>
  </si>
  <si>
    <t>D.04-Acquedotti e fognature-Impianti di tipo semplice ed ordinario</t>
  </si>
  <si>
    <t>D.05-Acquedotti e fognature-Impianti di tipo complesso e speciale</t>
  </si>
  <si>
    <t>T.01-Sistemi informativi</t>
  </si>
  <si>
    <t>T.02-Sistemi e reti di telecomunicazione</t>
  </si>
  <si>
    <t>T.03-Sistemi elettronici ed automazione</t>
  </si>
  <si>
    <t>P.01-Interventi di sistemazione naturalistica o paesaggistica</t>
  </si>
  <si>
    <t>P.02-Interventi del verde e opere per attività ricreativa o sportiva</t>
  </si>
  <si>
    <t>P.03-Interventi recupero, riqualificazione ambientale</t>
  </si>
  <si>
    <t>P.04-Interventi di sfruttamento di cave e torbiere</t>
  </si>
  <si>
    <t>P.05-Interventi di miglioramento e qualificazione della filiera forestale</t>
  </si>
  <si>
    <t>P.06-Interventi di miglioramento fondiario agrario e rurale; interventi di pianificazione alimentare</t>
  </si>
  <si>
    <t>U.01-Interventi per la valorizzazione delle filiere produttive agroalimentari e zootecniche; interventi di controllo – vigilanza alimentare</t>
  </si>
  <si>
    <t>U.02-Interventi per la valorizzazione della filiera naturalistica e faunistica</t>
  </si>
  <si>
    <t>U.03-Pianificazione</t>
  </si>
  <si>
    <t>VIABILITA'</t>
  </si>
  <si>
    <t>SI</t>
  </si>
  <si>
    <t>NO</t>
  </si>
  <si>
    <t>art. 6 c.1 DL76</t>
  </si>
  <si>
    <t>art. 6 c.5 DL76</t>
  </si>
  <si>
    <t>+10 %</t>
  </si>
  <si>
    <t>SAL</t>
  </si>
  <si>
    <t>Avanzamento lavori alla data di pubblicazione del DL 76/2020 &gt; 50%</t>
  </si>
  <si>
    <t>Compensi parziali riferiti a ciascuna categoria di lavorazione fino a 100 M (calcolato sui valori riproporzionati per V &gt; 100 M)</t>
  </si>
  <si>
    <t>Valore dell'opera  &gt; 100 M =</t>
  </si>
  <si>
    <t>TOTALI</t>
  </si>
  <si>
    <t>Compensi parziali riferiti a ciascuna categoria di lavorazione per la parte eccedente i 100 M</t>
  </si>
  <si>
    <t>GETTONE UNICO ONNICOMPRENSIVO PER IL PRESIDENTE DEL CCT</t>
  </si>
  <si>
    <t>CALCOLO DEL GETTONE UNICO ONNICOMPRENSIVO</t>
  </si>
  <si>
    <t>Compenso orario (+25%)</t>
  </si>
  <si>
    <t>Selezionare dal menù a tendina</t>
  </si>
  <si>
    <t xml:space="preserve"> </t>
  </si>
  <si>
    <t>MAGGIORAZIONI</t>
  </si>
  <si>
    <t>IMPORTO SCAGLIONE</t>
  </si>
  <si>
    <t xml:space="preserve">SCAGLIONI AFFARE FINO A </t>
  </si>
  <si>
    <t/>
  </si>
  <si>
    <t>Compenso fino 520.000,00 €</t>
  </si>
  <si>
    <r>
      <t>C</t>
    </r>
    <r>
      <rPr>
        <b/>
        <sz val="8"/>
        <rFont val="Verdana"/>
        <family val="2"/>
      </rPr>
      <t>g</t>
    </r>
  </si>
  <si>
    <t>IMPIANTI 1</t>
  </si>
  <si>
    <t>IMPIANTI 2</t>
  </si>
  <si>
    <t>IMPIANTI 3</t>
  </si>
  <si>
    <t>Idraulica 1</t>
  </si>
  <si>
    <t>Idraulica 2</t>
  </si>
  <si>
    <t>Ct</t>
  </si>
  <si>
    <t>Cg</t>
  </si>
  <si>
    <r>
      <rPr>
        <b/>
        <sz val="12"/>
        <rFont val="Arial"/>
        <family val="2"/>
      </rPr>
      <t>Compenso variabile per per determinazioni o pareri a prevalente carattere giuridico</t>
    </r>
    <r>
      <rPr>
        <sz val="12"/>
        <rFont val="Arial"/>
        <family val="2"/>
      </rPr>
      <t xml:space="preserve"> (Capo IV DM 10/03/2014 n. 55 e DM 8/03/2018 n. 37)</t>
    </r>
  </si>
  <si>
    <t>VA = Valore dell'affare - - &gt;</t>
  </si>
  <si>
    <t>St</t>
  </si>
  <si>
    <t>VT</t>
  </si>
  <si>
    <t>V1</t>
  </si>
  <si>
    <t>V2</t>
  </si>
  <si>
    <t>V3</t>
  </si>
  <si>
    <t>V4</t>
  </si>
  <si>
    <t>V5</t>
  </si>
  <si>
    <t>V6</t>
  </si>
  <si>
    <t>V7</t>
  </si>
  <si>
    <t>V8</t>
  </si>
  <si>
    <t>V9</t>
  </si>
  <si>
    <t>V10</t>
  </si>
  <si>
    <t>1 M &lt; VT &lt; 25 M</t>
  </si>
  <si>
    <t>Gm</t>
  </si>
  <si>
    <t>Sg</t>
  </si>
  <si>
    <t>VT &lt; = 1 M</t>
  </si>
  <si>
    <t>VT &gt; = 25 M</t>
  </si>
  <si>
    <t>CALCOLO DELLA PARTE VARIABILE DEL COMPENSO (PER OGNI PARERE O DETERMINAZIONE)</t>
  </si>
  <si>
    <r>
      <rPr>
        <b/>
        <sz val="14"/>
        <rFont val="Arial"/>
        <family val="2"/>
      </rPr>
      <t>C</t>
    </r>
    <r>
      <rPr>
        <b/>
        <sz val="12"/>
        <rFont val="Arial"/>
        <family val="2"/>
      </rPr>
      <t>t Membri - - - - - - - - - - - &gt;</t>
    </r>
  </si>
  <si>
    <r>
      <rPr>
        <b/>
        <sz val="14"/>
        <rFont val="Arial"/>
        <family val="2"/>
      </rPr>
      <t>C</t>
    </r>
    <r>
      <rPr>
        <b/>
        <sz val="12"/>
        <rFont val="Arial"/>
        <family val="2"/>
      </rPr>
      <t>t Presidente (+10%) - - - - - - - - - - - &gt;</t>
    </r>
  </si>
  <si>
    <r>
      <rPr>
        <b/>
        <sz val="14"/>
        <rFont val="Arial"/>
        <family val="2"/>
      </rPr>
      <t>C</t>
    </r>
    <r>
      <rPr>
        <b/>
        <sz val="12"/>
        <rFont val="Arial"/>
        <family val="2"/>
      </rPr>
      <t>t Membri + Spese Membri - - - - - - - - - - - &gt;</t>
    </r>
  </si>
  <si>
    <r>
      <rPr>
        <b/>
        <sz val="14"/>
        <rFont val="Arial"/>
        <family val="2"/>
      </rPr>
      <t>S</t>
    </r>
    <r>
      <rPr>
        <b/>
        <sz val="12"/>
        <rFont val="Arial"/>
        <family val="2"/>
      </rPr>
      <t>t</t>
    </r>
    <r>
      <rPr>
        <b/>
        <sz val="14"/>
        <rFont val="Arial"/>
        <family val="2"/>
      </rPr>
      <t xml:space="preserve"> </t>
    </r>
    <r>
      <rPr>
        <b/>
        <sz val="12"/>
        <rFont val="Arial"/>
        <family val="2"/>
      </rPr>
      <t>Membri</t>
    </r>
  </si>
  <si>
    <r>
      <rPr>
        <b/>
        <sz val="14"/>
        <rFont val="Arial"/>
        <family val="2"/>
      </rPr>
      <t>St</t>
    </r>
    <r>
      <rPr>
        <b/>
        <sz val="12"/>
        <rFont val="Arial"/>
        <family val="2"/>
      </rPr>
      <t xml:space="preserve"> Presidente</t>
    </r>
  </si>
  <si>
    <r>
      <rPr>
        <b/>
        <sz val="14"/>
        <rFont val="Arial"/>
        <family val="2"/>
      </rPr>
      <t>Cg</t>
    </r>
    <r>
      <rPr>
        <b/>
        <sz val="12"/>
        <rFont val="Arial"/>
        <family val="2"/>
      </rPr>
      <t xml:space="preserve"> Membri + Spese Membri - - - - - - - - - - - &gt;</t>
    </r>
  </si>
  <si>
    <r>
      <rPr>
        <b/>
        <sz val="14"/>
        <rFont val="Arial"/>
        <family val="2"/>
      </rPr>
      <t>C</t>
    </r>
    <r>
      <rPr>
        <b/>
        <sz val="12"/>
        <rFont val="Arial"/>
        <family val="2"/>
      </rPr>
      <t>t Presidente + Spese Presidente - - - - - - - - - - - &gt;</t>
    </r>
  </si>
  <si>
    <r>
      <rPr>
        <b/>
        <sz val="14"/>
        <rFont val="Arial"/>
        <family val="2"/>
      </rPr>
      <t xml:space="preserve">Cg </t>
    </r>
    <r>
      <rPr>
        <b/>
        <sz val="12"/>
        <rFont val="Arial"/>
        <family val="2"/>
      </rPr>
      <t>Presidente (+10%) - - - - - - - - - - - &gt;</t>
    </r>
  </si>
  <si>
    <r>
      <rPr>
        <b/>
        <sz val="14"/>
        <rFont val="Arial"/>
        <family val="2"/>
      </rPr>
      <t>C</t>
    </r>
    <r>
      <rPr>
        <b/>
        <sz val="12"/>
        <rFont val="Arial"/>
        <family val="2"/>
      </rPr>
      <t>g</t>
    </r>
    <r>
      <rPr>
        <b/>
        <sz val="14"/>
        <rFont val="Arial"/>
        <family val="2"/>
      </rPr>
      <t xml:space="preserve"> </t>
    </r>
    <r>
      <rPr>
        <b/>
        <sz val="12"/>
        <rFont val="Arial"/>
        <family val="2"/>
      </rPr>
      <t>Presidente + Spese Presidente - - - - - - - - - - - &gt;</t>
    </r>
  </si>
  <si>
    <r>
      <t xml:space="preserve">CALCOLO DEI COMPENSI DEL COLLEGIO CONSULTIVO TECNICO ex art. 6 DL 76/2020 CONVERTITO IN LEGGE 120/2020
</t>
    </r>
    <r>
      <rPr>
        <sz val="14"/>
        <rFont val="Verdana"/>
        <family val="2"/>
      </rPr>
      <t xml:space="preserve">I compensi sono calcolati sulla base delle indicazioni delle "Linee Guida per l’omogenea applicazione da parte delle stazioni appaltanti delle funzioni del collegio consultivo tecnico di cui agli articoli 5 e 6 del DL 16 luglio 2020 n. 76, convertito in legge 11 settembre 2020, n. 120" emanate dal Consiglio superiore dei lavori pubblici il 21 dicembre 2020, del D.M. GIUSTIZIA 17/06/2016 </t>
    </r>
    <r>
      <rPr>
        <i/>
        <sz val="14"/>
        <rFont val="Verdana"/>
        <family val="2"/>
      </rPr>
      <t>"</t>
    </r>
    <r>
      <rPr>
        <sz val="14"/>
        <rFont val="Arial"/>
        <family val="2"/>
      </rPr>
      <t xml:space="preserve">Approvazione delle tabelle dei corrispettivi commisurati al livello qualitativo delle prestazioni di progettazione adottato ai sensi dell'art. 24, comma 8, del decreto legislativo n. 50 del 2016" </t>
    </r>
    <r>
      <rPr>
        <sz val="14"/>
        <rFont val="Verdana"/>
        <family val="2"/>
      </rPr>
      <t>e del Capo IV D.M. Giustizia 10 marzo 2014, n. 55 "Regolamento recante la determinazione dei parametri per la liquidazione dei compensi per la professione forense, ai sensi dell'articolo 13, comma 6, della legge 31 dicembre 2012, n. 247</t>
    </r>
    <r>
      <rPr>
        <b/>
        <sz val="14"/>
        <rFont val="Verdana"/>
        <family val="2"/>
      </rPr>
      <t xml:space="preserve">" </t>
    </r>
    <r>
      <rPr>
        <sz val="14"/>
        <rFont val="Verdana"/>
        <family val="2"/>
      </rPr>
      <t>come aggiornato dal d.m. Giustizia 8 marzo 2018, n. 37.</t>
    </r>
  </si>
  <si>
    <t xml:space="preserve">GETTONE UNICO ONNICOMPRENSIVO PER CIASCUN MEMBRO DEL CCT </t>
  </si>
  <si>
    <r>
      <t xml:space="preserve">Specificità della prestazione. </t>
    </r>
    <r>
      <rPr>
        <sz val="12"/>
        <rFont val="Arial"/>
        <family val="2"/>
      </rPr>
      <t>Per i collegi costituiti in via obbligatoria ai sensi dell'</t>
    </r>
    <r>
      <rPr>
        <b/>
        <sz val="12"/>
        <rFont val="Arial"/>
        <family val="2"/>
      </rPr>
      <t xml:space="preserve">art. 6 c.1 </t>
    </r>
    <r>
      <rPr>
        <sz val="12"/>
        <rFont val="Arial"/>
        <family val="2"/>
      </rPr>
      <t>del DL76 si fa riferimento alla prestazione di collaudo tecnico-amministrativo, ridotta del 50%. Per le parte eccedente il valore di € 100.000.000 di lavori si applica la riduzione del 90%. Per i collegi costituiti in via facoltativa ai sensi dell'</t>
    </r>
    <r>
      <rPr>
        <b/>
        <sz val="12"/>
        <rFont val="Arial"/>
        <family val="2"/>
      </rPr>
      <t>art. 6 c.5</t>
    </r>
    <r>
      <rPr>
        <sz val="12"/>
        <rFont val="Arial"/>
        <family val="2"/>
      </rPr>
      <t xml:space="preserve"> del DL76 il compenso è ridotto del 50%.</t>
    </r>
  </si>
  <si>
    <r>
      <t xml:space="preserve">Specificità della prestazione </t>
    </r>
    <r>
      <rPr>
        <sz val="12"/>
        <rFont val="Verdana"/>
        <family val="2"/>
      </rPr>
      <t>per la parte eccedente i 100 M</t>
    </r>
  </si>
  <si>
    <t>Qc</t>
  </si>
  <si>
    <t>Qe</t>
  </si>
  <si>
    <t xml:space="preserve">Ci </t>
  </si>
  <si>
    <t>Ce</t>
  </si>
  <si>
    <t>Gp</t>
  </si>
  <si>
    <r>
      <t>Grado di complessità della prestazione</t>
    </r>
    <r>
      <rPr>
        <i/>
        <sz val="12"/>
        <rFont val="Verdana"/>
        <family val="2"/>
      </rPr>
      <t xml:space="preserve"> (vedere Tabella-Z1)</t>
    </r>
    <r>
      <rPr>
        <b/>
        <sz val="12"/>
        <rFont val="Verdana"/>
        <family val="2"/>
      </rPr>
      <t xml:space="preserve"> - - - - - - - - - &gt;</t>
    </r>
  </si>
  <si>
    <t>Ve</t>
  </si>
  <si>
    <t>COMPENSO VARIABILE e spese dell'ultima determinazione parere a prevalente CARATTERE TECNICO (PRESIDENTE)</t>
  </si>
  <si>
    <t>GETTONE UNICO ONNICOMPRENSIVO PER TUTTI I MEMBRI DEL CCT                                        - - - - - - - - &gt;</t>
  </si>
  <si>
    <t>TOTALE GENERALE - - - - &gt;</t>
  </si>
  <si>
    <t>VALORE MASSIMO DEI COMPENSI                           - - - - - - - - &gt;</t>
  </si>
  <si>
    <t>V-100</t>
  </si>
  <si>
    <r>
      <rPr>
        <b/>
        <sz val="16"/>
        <rFont val="Symbol"/>
        <family val="1"/>
        <charset val="2"/>
      </rPr>
      <t>S</t>
    </r>
    <r>
      <rPr>
        <b/>
        <sz val="16"/>
        <rFont val="Arial"/>
        <family val="2"/>
      </rPr>
      <t xml:space="preserve"> </t>
    </r>
    <r>
      <rPr>
        <b/>
        <sz val="14"/>
        <rFont val="Verdana"/>
        <family val="2"/>
      </rPr>
      <t xml:space="preserve">Ci + </t>
    </r>
    <r>
      <rPr>
        <b/>
        <sz val="16"/>
        <rFont val="Symbol"/>
        <family val="1"/>
        <charset val="2"/>
      </rPr>
      <t xml:space="preserve">S </t>
    </r>
    <r>
      <rPr>
        <b/>
        <sz val="14"/>
        <rFont val="Verdana"/>
        <family val="2"/>
      </rPr>
      <t>Ce</t>
    </r>
  </si>
  <si>
    <t>Valore                                totale dell'opera                                   - - - - - - - &gt;</t>
  </si>
  <si>
    <t>Ct (M)</t>
  </si>
  <si>
    <t>St (M)</t>
  </si>
  <si>
    <t>Ct (P)</t>
  </si>
  <si>
    <t>St (P)</t>
  </si>
  <si>
    <t>n</t>
  </si>
  <si>
    <t>Cg (M)</t>
  </si>
  <si>
    <t>Sg (M)</t>
  </si>
  <si>
    <t>Cg (P)</t>
  </si>
  <si>
    <t>Sg (P)</t>
  </si>
  <si>
    <t>Cod</t>
  </si>
  <si>
    <t>DESCRIZIONE</t>
  </si>
  <si>
    <t>SOMMATORIA DI TUTTI I PRECEDENTI COMPENSI VARIABILI E SPESE A PREVALENTE CARATTERE TECNICO (Membri+Presidente)</t>
  </si>
  <si>
    <t>SOMMATORIA DI TUTTI I PRECEDENTI COMPENSI VARIABILI E SPESE A PREVALENTE CARATTERE GIURIDICO (Membri+Presidente)</t>
  </si>
  <si>
    <t>Sub.T</t>
  </si>
  <si>
    <r>
      <t xml:space="preserve">S </t>
    </r>
    <r>
      <rPr>
        <sz val="10"/>
        <rFont val="Verdana"/>
        <family val="2"/>
      </rPr>
      <t>Ct</t>
    </r>
  </si>
  <si>
    <r>
      <t xml:space="preserve">S </t>
    </r>
    <r>
      <rPr>
        <sz val="10"/>
        <rFont val="Verdana"/>
        <family val="2"/>
      </rPr>
      <t>Cg</t>
    </r>
  </si>
  <si>
    <t xml:space="preserve">                                                                                                          RIEPILOGO GENERALE E VERIFICA DELLA SPESA MASSIMA CONSENTITA</t>
  </si>
  <si>
    <t>STAZIONE APPALTANTE  ------------ &gt;&gt;&gt;</t>
  </si>
  <si>
    <t>TIPOLOGIA DELLE LAVORAZIONI   ------------ &gt;&gt;&gt;</t>
  </si>
  <si>
    <t>OPERATORE ECONOMICO  ------------ &gt;&gt;&gt;</t>
  </si>
  <si>
    <t>LAVORO  ------------ &gt;&gt;&gt;</t>
  </si>
  <si>
    <t>Editare le celle in azzurro</t>
  </si>
  <si>
    <t>GETTONE UNICO ONNICOMPRENSIVO PER CIASCUN MEMBRO DEL CCT (sono comprense delle spese)</t>
  </si>
  <si>
    <t>GETTONE UNICO ONNICOMPRENSIVO PER IL PRESIDENTE DEL CCT (sono comprese le spese)</t>
  </si>
  <si>
    <t>Collaudo Tecnico Amministrativo in corso d'opera</t>
  </si>
  <si>
    <t>CTA</t>
  </si>
  <si>
    <t>Ci = V100*P*G*Qc*CTA</t>
  </si>
  <si>
    <t>Ce = Ve*P*G*Qe*CTA</t>
  </si>
  <si>
    <r>
      <t xml:space="preserve">Identificazione delle opere ---------------- &gt;&gt;&gt;
</t>
    </r>
    <r>
      <rPr>
        <i/>
        <sz val="16"/>
        <rFont val="Verdana"/>
        <family val="2"/>
      </rPr>
      <t>(per la descrizione  dettagliata vedere Tabella-Z1)</t>
    </r>
  </si>
  <si>
    <t>COMPENSO VARIABILE e spese di tutte le precedenti determinazioni e pareri a prevalente CARATTERE TECNICO (MEMBRI+PRESIDENTE)</t>
  </si>
  <si>
    <t>COMPENSO VARIABILE e spese di tutte le precedenti determinazioni e pareri a prevalente CARATTERE GIURIDICO (MEMBRI+PRESIDENTE)</t>
  </si>
  <si>
    <t>LOCALITA'  ------------ &gt;&gt;&gt;</t>
  </si>
  <si>
    <t xml:space="preserve">Ve = Valori dell'opera eccedenti i 100 M </t>
  </si>
  <si>
    <r>
      <t xml:space="preserve">V100 = PARTI DELL'OPERA FINO A 100 M SE </t>
    </r>
    <r>
      <rPr>
        <b/>
        <sz val="14"/>
        <rFont val="Verdana"/>
        <family val="2"/>
      </rPr>
      <t>V</t>
    </r>
    <r>
      <rPr>
        <b/>
        <sz val="12"/>
        <rFont val="Verdana"/>
        <family val="2"/>
      </rPr>
      <t>i &gt; 100 M</t>
    </r>
  </si>
  <si>
    <t xml:space="preserve">Valori dell'opera eccedenti i 100 M </t>
  </si>
  <si>
    <r>
      <rPr>
        <b/>
        <sz val="12"/>
        <rFont val="Arial"/>
        <family val="2"/>
      </rPr>
      <t>Compenso variabile per determinazioni o pareri a prevalente carattere tecnico</t>
    </r>
    <r>
      <rPr>
        <sz val="12"/>
        <rFont val="Arial"/>
        <family val="2"/>
      </rPr>
      <t xml:space="preserve"> (max DM 17/06/2016 + 25%)</t>
    </r>
  </si>
  <si>
    <t>euro/ora  (max DM 17/06/2016) ------&gt;</t>
  </si>
  <si>
    <t>IMPORTO  MASSIMO DEI COMPENSI A CARICO DELLA STAZIONE APPALTANTE                           - - - - - - - - &gt;</t>
  </si>
  <si>
    <t>IMPORTO MASSIMO DEI COMPENSI CCT</t>
  </si>
  <si>
    <t>MAX1</t>
  </si>
  <si>
    <t>MAX2</t>
  </si>
  <si>
    <t>COMPENSO TOTALE VARIABILE e spese dell'ultima determinazione parere a prevalente CARATTERE TECNICO (MEMBRI)</t>
  </si>
  <si>
    <t>IMPORTO MASSIMO DEI COMPENSI CCT A CARICO DELLA STAZIONE APPALTANTE (50% di MAX1)</t>
  </si>
  <si>
    <r>
      <rPr>
        <b/>
        <sz val="12"/>
        <rFont val="Arial"/>
        <family val="2"/>
      </rPr>
      <t>Importo delle spese</t>
    </r>
    <r>
      <rPr>
        <sz val="12"/>
        <rFont val="Arial"/>
        <family val="2"/>
      </rPr>
      <t xml:space="preserve"> per determinazioni o pareri a prevalente carattere tecnico (determinate in maniera forfettaria in base all'art. 5 DM 17/06/2016 sull'importo VT dell'opera) </t>
    </r>
  </si>
  <si>
    <r>
      <rPr>
        <b/>
        <sz val="12"/>
        <rFont val="Arial"/>
        <family val="2"/>
      </rPr>
      <t>Importo delle spese</t>
    </r>
    <r>
      <rPr>
        <sz val="12"/>
        <rFont val="Arial"/>
        <family val="2"/>
      </rPr>
      <t xml:space="preserve"> per determinazioni o pareri a prevalente carattere giuridico (determinate in maniera forfettaria in base all'art. 5 DM 17/06/2016 sull'importo VT dell'opera)</t>
    </r>
  </si>
  <si>
    <t>NUMERO DI ORE IMPIEGATE COLLEGIALMENTE PER PARERI O DETERMINAZIONI A PREVALENTE CARATTERE TECNICO - - - - - &gt;</t>
  </si>
  <si>
    <t>Cg Membri - - - - - - - - - - - &gt;</t>
  </si>
  <si>
    <t>Gm (20%)</t>
  </si>
  <si>
    <t>ANTICIPAZIONE 20% PER MEMBRI</t>
  </si>
  <si>
    <t>Gp (20%)</t>
  </si>
  <si>
    <t>ANTICIPAZIONE 20% PER PRESIDENTE</t>
  </si>
  <si>
    <t>Ct+St (M)</t>
  </si>
  <si>
    <t>Cg+Sg (M)</t>
  </si>
  <si>
    <t>Cg+Sg (P)</t>
  </si>
  <si>
    <t>(3+4)</t>
  </si>
  <si>
    <t>(5+6)</t>
  </si>
  <si>
    <t>(7+8)</t>
  </si>
  <si>
    <t>(9+10)</t>
  </si>
  <si>
    <t>(1b)</t>
  </si>
  <si>
    <t>(2b)</t>
  </si>
  <si>
    <t>COMPENSO VARIABILE ULTIME DETEMINE A PREVALENTE CARATTERE TECNICO (Presidente)</t>
  </si>
  <si>
    <t>COMPENSO VARIABILE ULTIME DETERMINE PARERI A PREVALENTE CARATTERE TECNICO (Membri)</t>
  </si>
  <si>
    <t>SPESE ULTIME DETERMINE A PREVALENTE CARATTERE TECNICO (Membri)</t>
  </si>
  <si>
    <t>COMPENSO VARIABILE + SPESE ULTIME DETERMINE A PREVALENTE CARATTERE TECNICO (Membri)</t>
  </si>
  <si>
    <t>SPESE ULTIME DETERMINE A PREVALENTE CARATTERE TECNICO (Presidente)</t>
  </si>
  <si>
    <t>COMPENSO VARIABILE + SPESE ULTIME DETERMINE A PREVALENTE CARATTERE TECNICO (Presidente)</t>
  </si>
  <si>
    <t>COMPENSO VARIABILE ULTIME DETERMINE A PREVALENTE CARATTERE GIURIDICO (Membri)</t>
  </si>
  <si>
    <t>SPESE ULTIME DETERMINE A PREVALENTE CARATTERE GIURIDICO (Membri)</t>
  </si>
  <si>
    <t>COMPENSO VARIABILE + SPESE ULTIME DETERMINE A PREVALENTE CARATTERE GIURIDICO MEMBRI</t>
  </si>
  <si>
    <t>COMPENSO VARIABILE ULTIME DETERMINE A PREVALENTE CARATTERE GIURIDICO (Presidente)</t>
  </si>
  <si>
    <t>SPESE ULTIME DETERMINE A PREVALENTE CARATTERE GIURIDICO (Presidente)</t>
  </si>
  <si>
    <t>COMPENSO VARIABILE + SPESE ULTIME DETERMINE A PREVALENTE CARATTERE GIURIDICO (Presidente)</t>
  </si>
  <si>
    <t xml:space="preserve">Sub Totale Compensi </t>
  </si>
  <si>
    <t xml:space="preserve">RIEPILOGO COMPENSI CCT secondo le Linee Guida Consiglio Superiore LLPP del 21 dicembre 2020					</t>
  </si>
  <si>
    <t>R.U.P.  ------------ &gt;&gt;&gt;</t>
  </si>
  <si>
    <t>IMPORTO LAVORI  ------------ &gt;&gt;&gt;</t>
  </si>
  <si>
    <t>ALLA DATA DEL   ------------ &gt;&gt;&gt;</t>
  </si>
  <si>
    <t>NUMERO</t>
  </si>
  <si>
    <t>NUMERO DEI COMPONENTI DEL CCT ------------ &gt;&gt;&gt;</t>
  </si>
  <si>
    <t>PRESIDENTE ------------ &gt;&gt;&gt;</t>
  </si>
  <si>
    <t>MEMBRO N. 3 ------------ &gt;&gt;&gt;</t>
  </si>
  <si>
    <t>MEMBRO N. 4 ------------ &gt;&gt;&gt;</t>
  </si>
  <si>
    <t>COMPENSI PER               CIASCUN COMPONENTE</t>
  </si>
  <si>
    <t>NUMERO DETERMINE---- &gt;&gt;&gt;</t>
  </si>
  <si>
    <t>Sub.T1</t>
  </si>
  <si>
    <t>Sub.T2</t>
  </si>
  <si>
    <t xml:space="preserve">TOTALE GENERALE COMPENSI MATURATI DAL CCT </t>
  </si>
  <si>
    <t>T</t>
  </si>
  <si>
    <t>QUOTA A CARICO DI CIASCUNA PARTE (50% di T)</t>
  </si>
  <si>
    <t>L1</t>
  </si>
  <si>
    <t>TOTALE DEI COMPENSI DA LIQUIDARE</t>
  </si>
  <si>
    <t>L2</t>
  </si>
  <si>
    <t>TOTALE DEI COMPENSI LIQUIDATI (COMPRESI GLI ACCONTI SUL COMPENSO FISSO)</t>
  </si>
  <si>
    <t>COMPONENTE N. 1 ------------ &gt;&gt;&gt;</t>
  </si>
  <si>
    <t>COMPONENTE N. 2 ------------ &gt;&gt;&gt;</t>
  </si>
  <si>
    <t>COMPENSI</t>
  </si>
  <si>
    <t>TOTALE</t>
  </si>
  <si>
    <t>NOME LOCALITA'</t>
  </si>
  <si>
    <t>DENOMINAZIONE STAZIONE APPALTANTE</t>
  </si>
  <si>
    <t>NOMINATIVO RUP</t>
  </si>
  <si>
    <t>RAGIONE SOCIALE OPERATORE ECONOMICO</t>
  </si>
  <si>
    <t>DESCRIZIONE DEI LAVORI</t>
  </si>
  <si>
    <t>NOMINATIVO PRESIDENTE</t>
  </si>
  <si>
    <t>N.</t>
  </si>
  <si>
    <t>DATA DEL RIEPILOGO</t>
  </si>
  <si>
    <t>NOMINATIVO COMPONENTE N.1</t>
  </si>
  <si>
    <t>NOMINATIVO COMPONENTE N. 2</t>
  </si>
  <si>
    <t>NOMINATIVO COMPONENTE N. 3</t>
  </si>
  <si>
    <t>NOMINATIVO COMPONENTE N. 4</t>
  </si>
  <si>
    <t>COMPENSO TOTALE VARIABILE e spese dell'ultima determinazione o parere a prevalente CARATTERE GIURIDICO (MEMBRI)</t>
  </si>
  <si>
    <t>COMPENSO VARIABILE e spese dell'ultima determinazioneo parere a prevalente CARATTERE GIURIDICO (PRESIDENTE)</t>
  </si>
  <si>
    <t>GETTONE UNICO ONNICOMPRENSIVO PER IL PRESIDENTE        DEL CCT</t>
  </si>
  <si>
    <t>(1c)</t>
  </si>
  <si>
    <t>Gm (SAL)</t>
  </si>
  <si>
    <t>(2C)</t>
  </si>
  <si>
    <t>Gp (SAL)</t>
  </si>
  <si>
    <t>TOTALE ACCONTI MATURATI OLTRE L'ANTICIPAZIONE</t>
  </si>
  <si>
    <t>TOTALE GENERALE COMPENSI VARIABILI MATURATI</t>
  </si>
  <si>
    <t>TOTALE GENERALE COMPENSI FISSI</t>
  </si>
  <si>
    <t>TOTALE GENERALE COMPENSI FISSI MATURATI</t>
  </si>
  <si>
    <t>Sub.T3</t>
  </si>
  <si>
    <t>TOTALE GENERALE DA LIQUIDARE AL CCT</t>
  </si>
  <si>
    <t>QUOTA A CARICO DI CIASCUNA PARTE (50% di T1)</t>
  </si>
  <si>
    <t>T (50%)</t>
  </si>
  <si>
    <t>TM</t>
  </si>
  <si>
    <t>TM (50%)</t>
  </si>
  <si>
    <r>
      <rPr>
        <b/>
        <u/>
        <sz val="12"/>
        <rFont val="Verdana"/>
        <family val="2"/>
      </rPr>
      <t>AVVERTENZE PER L'UTILIZZO DEL FOGLIO DI CALCOLO</t>
    </r>
    <r>
      <rPr>
        <sz val="12"/>
        <rFont val="Verdana"/>
        <family val="2"/>
      </rPr>
      <t xml:space="preserve">
IL FOGLIO DI CALCOLO E' STATO PREDISPOSTO COME SEMPLICE AUSILIO PER LA VALUTAZIONE DEI COMPENSI DEL COLLEGIO CONSULTIVO TECNICO IN ADERENZA ALLE INDICAZIONI DELLE LINEE GUIDA EMANATE DAL PRESIDENTE DEL CONSIGLIO SUPERIORE DEI LAVORI PUBBLICI IN DATA 21.12.2020. </t>
    </r>
    <r>
      <rPr>
        <b/>
        <sz val="12"/>
        <rFont val="Verdana"/>
        <family val="2"/>
      </rPr>
      <t>GLI UTILIZZATORI SONO PERTANTO TENUTI ALLA VERIFICA DEI DATI DI INGRESSO E DEI RISULTATI INTERMEDI E FINALI DELLE CALCOLAZIONI</t>
    </r>
    <r>
      <rPr>
        <sz val="12"/>
        <rFont val="Verdana"/>
        <family val="2"/>
      </rPr>
      <t xml:space="preserve"> DI CUI SI ASSUMONO LA PIENA RESPONSABILITA' IN CASO DI UTILIZZO. IL FOGLIO DI CALCOLO NON TIENE CONTO DELL'IVA E DEGLI ONERI PREVIDENZIALI E ASSISTENZIALI CHE DEVONO ESSERE COMPUTATI A PARTE. </t>
    </r>
    <r>
      <rPr>
        <u/>
        <sz val="12"/>
        <rFont val="Verdana"/>
        <family val="2"/>
      </rPr>
      <t>LE DESCRIZIONI E GLI IMPORTI INSERITI SONO PURAMENTE INDICATIVI E DEVONO ESSERE SOSTITUITI CON QUELLI RELATIVI ALLO SPECIFICO LAVORO.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</si>
</sst>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0"/>
    <numFmt numFmtId="165" formatCode="0.0000%"/>
    <numFmt numFmtId="166" formatCode="#,##0.00\ &quot;€&quot;"/>
    <numFmt numFmtId="167" formatCode="#,##0.000"/>
  </numFmts>
  <fonts count="59">
    <font>
      <sz val="10"/>
      <name val="Arial"/>
    </font>
    <font>
      <sz val="10"/>
      <name val="Verdana"/>
      <family val="2"/>
    </font>
    <font>
      <sz val="10"/>
      <color indexed="10"/>
      <name val="Verdana"/>
      <family val="2"/>
    </font>
    <font>
      <b/>
      <sz val="10"/>
      <name val="Verdana"/>
      <family val="2"/>
    </font>
    <font>
      <sz val="9"/>
      <color indexed="10"/>
      <name val="Verdana"/>
      <family val="2"/>
    </font>
    <font>
      <b/>
      <sz val="8"/>
      <name val="Verdana"/>
      <family val="2"/>
    </font>
    <font>
      <sz val="8"/>
      <name val="Verdana"/>
      <family val="2"/>
    </font>
    <font>
      <b/>
      <sz val="10"/>
      <color indexed="10"/>
      <name val="Verdana"/>
      <family val="2"/>
    </font>
    <font>
      <sz val="10"/>
      <name val="Arial"/>
      <family val="2"/>
    </font>
    <font>
      <sz val="8"/>
      <name val="Arial"/>
      <family val="2"/>
    </font>
    <font>
      <b/>
      <sz val="12"/>
      <name val="Verdana"/>
      <family val="2"/>
    </font>
    <font>
      <b/>
      <sz val="10"/>
      <name val="Arial"/>
      <family val="2"/>
    </font>
    <font>
      <sz val="10"/>
      <name val="Arial"/>
      <family val="2"/>
    </font>
    <font>
      <b/>
      <sz val="9"/>
      <name val="Arial"/>
      <family val="2"/>
    </font>
    <font>
      <i/>
      <sz val="10"/>
      <name val="Verdana"/>
      <family val="2"/>
    </font>
    <font>
      <b/>
      <sz val="11"/>
      <name val="Verdana"/>
      <family val="2"/>
    </font>
    <font>
      <sz val="8"/>
      <name val="Arial"/>
      <family val="2"/>
    </font>
    <font>
      <sz val="10"/>
      <color rgb="FF000000"/>
      <name val="Times New Roman"/>
      <family val="1"/>
    </font>
    <font>
      <sz val="6"/>
      <name val="Arial"/>
      <family val="2"/>
    </font>
    <font>
      <b/>
      <sz val="8"/>
      <name val="Arial"/>
      <family val="2"/>
    </font>
    <font>
      <sz val="8"/>
      <color rgb="FF000000"/>
      <name val="Arial"/>
      <family val="2"/>
    </font>
    <font>
      <b/>
      <sz val="7"/>
      <name val="Arial"/>
      <family val="2"/>
    </font>
    <font>
      <sz val="7"/>
      <color rgb="FF000000"/>
      <name val="Times New Roman"/>
      <family val="1"/>
    </font>
    <font>
      <sz val="8"/>
      <color rgb="FF000000"/>
      <name val="Times New Roman"/>
      <family val="1"/>
    </font>
    <font>
      <vertAlign val="superscript"/>
      <sz val="8"/>
      <name val="Arial"/>
      <family val="2"/>
    </font>
    <font>
      <sz val="10"/>
      <name val="Arial"/>
      <family val="2"/>
    </font>
    <font>
      <b/>
      <sz val="14"/>
      <name val="Verdana"/>
      <family val="2"/>
    </font>
    <font>
      <sz val="12"/>
      <name val="Verdana"/>
      <family val="2"/>
    </font>
    <font>
      <b/>
      <sz val="12"/>
      <name val="Arial"/>
      <family val="2"/>
    </font>
    <font>
      <sz val="14"/>
      <name val="Arial"/>
      <family val="2"/>
    </font>
    <font>
      <sz val="12"/>
      <name val="Arial"/>
      <family val="2"/>
    </font>
    <font>
      <b/>
      <sz val="12"/>
      <color rgb="FFFF0000"/>
      <name val="Verdana"/>
      <family val="2"/>
    </font>
    <font>
      <sz val="14"/>
      <name val="Verdana"/>
      <family val="2"/>
    </font>
    <font>
      <b/>
      <sz val="14"/>
      <name val="Arial"/>
      <family val="2"/>
    </font>
    <font>
      <b/>
      <sz val="16"/>
      <name val="Arial"/>
      <family val="2"/>
    </font>
    <font>
      <sz val="16"/>
      <name val="Arial"/>
      <family val="2"/>
    </font>
    <font>
      <b/>
      <sz val="16"/>
      <name val="Verdana"/>
      <family val="2"/>
    </font>
    <font>
      <i/>
      <sz val="14"/>
      <name val="Verdana"/>
      <family val="2"/>
    </font>
    <font>
      <b/>
      <sz val="16"/>
      <color rgb="FFFF0000"/>
      <name val="Verdana"/>
      <family val="2"/>
    </font>
    <font>
      <sz val="16"/>
      <color rgb="FFFF0000"/>
      <name val="Arial"/>
      <family val="2"/>
    </font>
    <font>
      <i/>
      <sz val="16"/>
      <name val="Verdana"/>
      <family val="2"/>
    </font>
    <font>
      <sz val="12"/>
      <color indexed="10"/>
      <name val="Verdana"/>
      <family val="2"/>
    </font>
    <font>
      <b/>
      <sz val="12"/>
      <color indexed="10"/>
      <name val="Verdana"/>
      <family val="2"/>
    </font>
    <font>
      <b/>
      <sz val="12"/>
      <name val="Symbol"/>
      <family val="1"/>
      <charset val="2"/>
    </font>
    <font>
      <sz val="12"/>
      <name val="Symbol"/>
      <family val="1"/>
      <charset val="2"/>
    </font>
    <font>
      <i/>
      <sz val="12"/>
      <name val="Verdana"/>
      <family val="2"/>
    </font>
    <font>
      <b/>
      <sz val="14"/>
      <name val="Arial"/>
      <family val="1"/>
      <charset val="2"/>
    </font>
    <font>
      <b/>
      <sz val="18"/>
      <color rgb="FFFF0000"/>
      <name val="Verdana"/>
      <family val="2"/>
    </font>
    <font>
      <b/>
      <sz val="16"/>
      <name val="Symbol"/>
      <family val="1"/>
      <charset val="2"/>
    </font>
    <font>
      <sz val="18"/>
      <color rgb="FFFF0000"/>
      <name val="Verdana"/>
      <family val="2"/>
    </font>
    <font>
      <b/>
      <sz val="16"/>
      <color theme="3"/>
      <name val="Arial"/>
      <family val="2"/>
    </font>
    <font>
      <sz val="10"/>
      <name val="Symbol"/>
      <family val="1"/>
      <charset val="2"/>
    </font>
    <font>
      <b/>
      <sz val="14"/>
      <name val="Tahoma"/>
      <family val="2"/>
    </font>
    <font>
      <sz val="12"/>
      <name val="Tahoma"/>
      <family val="2"/>
    </font>
    <font>
      <b/>
      <sz val="16"/>
      <color rgb="FFFF0000"/>
      <name val="Arial"/>
      <family val="2"/>
    </font>
    <font>
      <b/>
      <sz val="14"/>
      <color rgb="FFFF0000"/>
      <name val="Verdana"/>
      <family val="2"/>
    </font>
    <font>
      <sz val="14"/>
      <color rgb="FFFF0000"/>
      <name val="Arial"/>
      <family val="2"/>
    </font>
    <font>
      <b/>
      <u/>
      <sz val="12"/>
      <name val="Verdana"/>
      <family val="2"/>
    </font>
    <font>
      <u/>
      <sz val="12"/>
      <name val="Verdana"/>
      <family val="2"/>
    </font>
  </fonts>
  <fills count="14">
    <fill>
      <patternFill patternType="none"/>
    </fill>
    <fill>
      <patternFill patternType="gray125"/>
    </fill>
    <fill>
      <patternFill patternType="solid">
        <fgColor rgb="FFFFC000"/>
        <bgColor indexed="64"/>
      </patternFill>
    </fill>
    <fill>
      <patternFill patternType="solid">
        <fgColor rgb="FFCCFFFF"/>
        <bgColor indexed="64"/>
      </patternFill>
    </fill>
    <fill>
      <patternFill patternType="solid">
        <fgColor rgb="FFF3F3F3"/>
      </patternFill>
    </fill>
    <fill>
      <patternFill patternType="solid">
        <fgColor rgb="FFF9F9F9"/>
      </patternFill>
    </fill>
    <fill>
      <patternFill patternType="solid">
        <fgColor rgb="FFD5D5D5"/>
      </patternFill>
    </fill>
    <fill>
      <patternFill patternType="solid">
        <fgColor theme="2" tint="-9.9978637043366805E-2"/>
        <bgColor indexed="64"/>
      </patternFill>
    </fill>
    <fill>
      <patternFill patternType="solid">
        <fgColor rgb="FFFFFF00"/>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0"/>
        <bgColor indexed="64"/>
      </patternFill>
    </fill>
  </fills>
  <borders count="111">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top/>
      <bottom/>
      <diagonal/>
    </border>
    <border>
      <left/>
      <right style="thin">
        <color rgb="FF000000"/>
      </right>
      <top/>
      <bottom/>
      <diagonal/>
    </border>
    <border>
      <left/>
      <right/>
      <top style="thin">
        <color rgb="FF000000"/>
      </top>
      <bottom/>
      <diagonal/>
    </border>
    <border>
      <left/>
      <right/>
      <top/>
      <bottom style="thin">
        <color rgb="FF000000"/>
      </bottom>
      <diagonal/>
    </border>
    <border>
      <left style="thin">
        <color indexed="64"/>
      </left>
      <right style="thin">
        <color indexed="64"/>
      </right>
      <top style="thin">
        <color indexed="64"/>
      </top>
      <bottom style="thin">
        <color rgb="FF000000"/>
      </bottom>
      <diagonal/>
    </border>
    <border>
      <left style="thin">
        <color indexed="64"/>
      </left>
      <right style="thin">
        <color indexed="64"/>
      </right>
      <top style="thin">
        <color rgb="FF000000"/>
      </top>
      <bottom style="thin">
        <color rgb="FF000000"/>
      </bottom>
      <diagonal/>
    </border>
    <border>
      <left style="thin">
        <color indexed="64"/>
      </left>
      <right style="thin">
        <color indexed="64"/>
      </right>
      <top style="thin">
        <color rgb="FF000000"/>
      </top>
      <bottom style="thin">
        <color indexed="64"/>
      </bottom>
      <diagonal/>
    </border>
    <border>
      <left style="medium">
        <color indexed="64"/>
      </left>
      <right style="medium">
        <color indexed="64"/>
      </right>
      <top/>
      <bottom style="thin">
        <color rgb="FF000000"/>
      </bottom>
      <diagonal/>
    </border>
    <border>
      <left style="medium">
        <color indexed="64"/>
      </left>
      <right style="medium">
        <color indexed="64"/>
      </right>
      <top style="thin">
        <color rgb="FF000000"/>
      </top>
      <bottom/>
      <diagonal/>
    </border>
    <border>
      <left style="thin">
        <color indexed="64"/>
      </left>
      <right style="medium">
        <color indexed="64"/>
      </right>
      <top/>
      <bottom style="thin">
        <color rgb="FFFFFFFF"/>
      </bottom>
      <diagonal/>
    </border>
    <border>
      <left style="thin">
        <color indexed="64"/>
      </left>
      <right style="medium">
        <color indexed="64"/>
      </right>
      <top style="thin">
        <color rgb="FFFFFFFF"/>
      </top>
      <bottom style="thin">
        <color rgb="FF000000"/>
      </bottom>
      <diagonal/>
    </border>
    <border>
      <left style="thin">
        <color indexed="64"/>
      </left>
      <right style="medium">
        <color indexed="64"/>
      </right>
      <top style="thin">
        <color rgb="FF000000"/>
      </top>
      <bottom style="thin">
        <color rgb="FF000000"/>
      </bottom>
      <diagonal/>
    </border>
    <border>
      <left style="thin">
        <color indexed="64"/>
      </left>
      <right style="medium">
        <color indexed="64"/>
      </right>
      <top/>
      <bottom style="thin">
        <color rgb="FF000000"/>
      </bottom>
      <diagonal/>
    </border>
    <border>
      <left style="thin">
        <color indexed="64"/>
      </left>
      <right style="medium">
        <color indexed="64"/>
      </right>
      <top style="thin">
        <color rgb="FF000000"/>
      </top>
      <bottom style="thin">
        <color indexed="64"/>
      </bottom>
      <diagonal/>
    </border>
    <border>
      <left style="thin">
        <color rgb="FF000000"/>
      </left>
      <right style="medium">
        <color indexed="64"/>
      </right>
      <top style="thin">
        <color rgb="FF000000"/>
      </top>
      <bottom style="thin">
        <color rgb="FF000000"/>
      </bottom>
      <diagonal/>
    </border>
    <border>
      <left style="thin">
        <color rgb="FF000000"/>
      </left>
      <right style="medium">
        <color indexed="64"/>
      </right>
      <top style="thin">
        <color rgb="FF000000"/>
      </top>
      <bottom/>
      <diagonal/>
    </border>
    <border>
      <left style="thin">
        <color rgb="FF000000"/>
      </left>
      <right style="medium">
        <color indexed="64"/>
      </right>
      <top/>
      <bottom style="thin">
        <color rgb="FF000000"/>
      </bottom>
      <diagonal/>
    </border>
    <border>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diagonalUp="1" diagonalDown="1">
      <left style="thin">
        <color indexed="64"/>
      </left>
      <right style="thin">
        <color indexed="64"/>
      </right>
      <top style="thin">
        <color indexed="64"/>
      </top>
      <bottom style="thin">
        <color indexed="64"/>
      </bottom>
      <diagonal style="thin">
        <color indexed="64"/>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style="thin">
        <color indexed="64"/>
      </left>
      <right/>
      <top style="medium">
        <color indexed="64"/>
      </top>
      <bottom/>
      <diagonal/>
    </border>
    <border>
      <left style="medium">
        <color indexed="64"/>
      </left>
      <right style="thin">
        <color indexed="64"/>
      </right>
      <top style="thin">
        <color indexed="64"/>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diagonalUp="1" diagonalDown="1">
      <left style="medium">
        <color indexed="64"/>
      </left>
      <right style="thin">
        <color indexed="64"/>
      </right>
      <top style="thin">
        <color indexed="64"/>
      </top>
      <bottom style="thin">
        <color indexed="64"/>
      </bottom>
      <diagonal style="thin">
        <color indexed="64"/>
      </diagonal>
    </border>
    <border>
      <left/>
      <right style="medium">
        <color indexed="64"/>
      </right>
      <top style="thin">
        <color indexed="64"/>
      </top>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s>
  <cellStyleXfs count="4">
    <xf numFmtId="0" fontId="0" fillId="0" borderId="0"/>
    <xf numFmtId="0" fontId="17" fillId="0" borderId="0"/>
    <xf numFmtId="9" fontId="25" fillId="0" borderId="0" applyFont="0" applyFill="0" applyBorder="0" applyAlignment="0" applyProtection="0"/>
    <xf numFmtId="0" fontId="8" fillId="0" borderId="0"/>
  </cellStyleXfs>
  <cellXfs count="750">
    <xf numFmtId="0" fontId="0" fillId="0" borderId="0" xfId="0"/>
    <xf numFmtId="0" fontId="0" fillId="0" borderId="0" xfId="0" applyFill="1" applyBorder="1" applyProtection="1"/>
    <xf numFmtId="0" fontId="0" fillId="0" borderId="0" xfId="0" applyFill="1" applyProtection="1"/>
    <xf numFmtId="0" fontId="19" fillId="4" borderId="22" xfId="1" applyFont="1" applyFill="1" applyBorder="1" applyAlignment="1">
      <alignment horizontal="center" vertical="center" wrapText="1"/>
    </xf>
    <xf numFmtId="0" fontId="20" fillId="4" borderId="17" xfId="1" applyFont="1" applyFill="1" applyBorder="1" applyAlignment="1">
      <alignment horizontal="center" vertical="center" wrapText="1"/>
    </xf>
    <xf numFmtId="0" fontId="19" fillId="4" borderId="17" xfId="1" applyFont="1" applyFill="1" applyBorder="1" applyAlignment="1">
      <alignment horizontal="center" vertical="center" wrapText="1"/>
    </xf>
    <xf numFmtId="0" fontId="19" fillId="4" borderId="24" xfId="1" applyFont="1" applyFill="1" applyBorder="1" applyAlignment="1">
      <alignment horizontal="center" vertical="center" wrapText="1"/>
    </xf>
    <xf numFmtId="0" fontId="9" fillId="5" borderId="17" xfId="1" applyFont="1" applyFill="1" applyBorder="1" applyAlignment="1">
      <alignment horizontal="center" vertical="top" wrapText="1"/>
    </xf>
    <xf numFmtId="0" fontId="23" fillId="5" borderId="30" xfId="1" applyFont="1" applyFill="1" applyBorder="1" applyAlignment="1">
      <alignment horizontal="left" vertical="top" wrapText="1"/>
    </xf>
    <xf numFmtId="0" fontId="23" fillId="5" borderId="31" xfId="1" applyFont="1" applyFill="1" applyBorder="1" applyAlignment="1">
      <alignment horizontal="left" vertical="top" wrapText="1"/>
    </xf>
    <xf numFmtId="0" fontId="9" fillId="6" borderId="17" xfId="1" applyFont="1" applyFill="1" applyBorder="1" applyAlignment="1">
      <alignment horizontal="center" vertical="top" wrapText="1"/>
    </xf>
    <xf numFmtId="0" fontId="23" fillId="6" borderId="31" xfId="1" applyFont="1" applyFill="1" applyBorder="1" applyAlignment="1">
      <alignment horizontal="left" vertical="top" wrapText="1"/>
    </xf>
    <xf numFmtId="0" fontId="9" fillId="5" borderId="17" xfId="1" applyFont="1" applyFill="1" applyBorder="1" applyAlignment="1">
      <alignment horizontal="center" vertical="center" wrapText="1"/>
    </xf>
    <xf numFmtId="0" fontId="23" fillId="6" borderId="32" xfId="1" applyFont="1" applyFill="1" applyBorder="1" applyAlignment="1">
      <alignment horizontal="left" vertical="top" wrapText="1"/>
    </xf>
    <xf numFmtId="0" fontId="9" fillId="5" borderId="24" xfId="1" applyFont="1" applyFill="1" applyBorder="1" applyAlignment="1">
      <alignment horizontal="center" vertical="top" wrapText="1"/>
    </xf>
    <xf numFmtId="0" fontId="23" fillId="5" borderId="24" xfId="1" applyFont="1" applyFill="1" applyBorder="1" applyAlignment="1">
      <alignment horizontal="left" vertical="top" wrapText="1"/>
    </xf>
    <xf numFmtId="0" fontId="23" fillId="5" borderId="17" xfId="1" applyFont="1" applyFill="1" applyBorder="1" applyAlignment="1">
      <alignment horizontal="left" vertical="top" wrapText="1"/>
    </xf>
    <xf numFmtId="0" fontId="23" fillId="6" borderId="17" xfId="1" applyFont="1" applyFill="1" applyBorder="1" applyAlignment="1">
      <alignment horizontal="left" vertical="top" wrapText="1"/>
    </xf>
    <xf numFmtId="0" fontId="9" fillId="5" borderId="16" xfId="1" applyFont="1" applyFill="1" applyBorder="1" applyAlignment="1">
      <alignment horizontal="right" vertical="top" wrapText="1" indent="1"/>
    </xf>
    <xf numFmtId="0" fontId="9" fillId="5" borderId="16" xfId="1" applyFont="1" applyFill="1" applyBorder="1" applyAlignment="1">
      <alignment horizontal="center" vertical="top" wrapText="1"/>
    </xf>
    <xf numFmtId="0" fontId="9" fillId="5" borderId="16" xfId="1" applyFont="1" applyFill="1" applyBorder="1" applyAlignment="1">
      <alignment horizontal="left" vertical="top" wrapText="1" indent="2"/>
    </xf>
    <xf numFmtId="0" fontId="23" fillId="5" borderId="16" xfId="1" applyFont="1" applyFill="1" applyBorder="1" applyAlignment="1">
      <alignment horizontal="left" vertical="top" wrapText="1"/>
    </xf>
    <xf numFmtId="0" fontId="9" fillId="6" borderId="16" xfId="1" applyFont="1" applyFill="1" applyBorder="1" applyAlignment="1">
      <alignment horizontal="right" vertical="top" wrapText="1" indent="1"/>
    </xf>
    <xf numFmtId="0" fontId="9" fillId="6" borderId="16" xfId="1" applyFont="1" applyFill="1" applyBorder="1" applyAlignment="1">
      <alignment horizontal="center" vertical="top" wrapText="1"/>
    </xf>
    <xf numFmtId="0" fontId="9" fillId="6" borderId="16" xfId="1" applyFont="1" applyFill="1" applyBorder="1" applyAlignment="1">
      <alignment horizontal="left" vertical="top" wrapText="1" indent="2"/>
    </xf>
    <xf numFmtId="0" fontId="23" fillId="6" borderId="16" xfId="1" applyFont="1" applyFill="1" applyBorder="1" applyAlignment="1">
      <alignment horizontal="left" vertical="top" wrapText="1"/>
    </xf>
    <xf numFmtId="0" fontId="9" fillId="5" borderId="16" xfId="1" applyFont="1" applyFill="1" applyBorder="1" applyAlignment="1">
      <alignment horizontal="left" vertical="top" wrapText="1" indent="1"/>
    </xf>
    <xf numFmtId="0" fontId="18" fillId="5" borderId="25" xfId="1" applyFont="1" applyFill="1" applyBorder="1" applyAlignment="1">
      <alignment horizontal="left" vertical="top" wrapText="1"/>
    </xf>
    <xf numFmtId="0" fontId="9" fillId="5" borderId="2" xfId="1" applyFont="1" applyFill="1" applyBorder="1" applyAlignment="1">
      <alignment horizontal="right" vertical="top" wrapText="1" indent="1"/>
    </xf>
    <xf numFmtId="0" fontId="23" fillId="5" borderId="2" xfId="1" applyFont="1" applyFill="1" applyBorder="1" applyAlignment="1">
      <alignment horizontal="left" vertical="top" wrapText="1"/>
    </xf>
    <xf numFmtId="0" fontId="9" fillId="5" borderId="2" xfId="1" applyFont="1" applyFill="1" applyBorder="1" applyAlignment="1">
      <alignment horizontal="center" vertical="top" wrapText="1"/>
    </xf>
    <xf numFmtId="0" fontId="9" fillId="5" borderId="4" xfId="1" applyFont="1" applyFill="1" applyBorder="1" applyAlignment="1">
      <alignment horizontal="right" vertical="top" wrapText="1" indent="1"/>
    </xf>
    <xf numFmtId="0" fontId="23" fillId="5" borderId="4" xfId="1" applyFont="1" applyFill="1" applyBorder="1" applyAlignment="1">
      <alignment horizontal="left" vertical="top" wrapText="1"/>
    </xf>
    <xf numFmtId="0" fontId="9" fillId="5" borderId="4" xfId="1" applyFont="1" applyFill="1" applyBorder="1" applyAlignment="1">
      <alignment horizontal="center" vertical="top" wrapText="1"/>
    </xf>
    <xf numFmtId="0" fontId="0" fillId="0" borderId="9" xfId="0" applyBorder="1"/>
    <xf numFmtId="0" fontId="18" fillId="5" borderId="17" xfId="1" applyFont="1" applyFill="1" applyBorder="1" applyAlignment="1">
      <alignment horizontal="left" vertical="top" wrapText="1"/>
    </xf>
    <xf numFmtId="0" fontId="18" fillId="6" borderId="17" xfId="1" applyFont="1" applyFill="1" applyBorder="1" applyAlignment="1">
      <alignment horizontal="left" vertical="top" wrapText="1"/>
    </xf>
    <xf numFmtId="0" fontId="18" fillId="5" borderId="24" xfId="1" applyFont="1" applyFill="1" applyBorder="1" applyAlignment="1">
      <alignment horizontal="left" vertical="top" wrapText="1"/>
    </xf>
    <xf numFmtId="0" fontId="18" fillId="6" borderId="24" xfId="1" applyFont="1" applyFill="1" applyBorder="1" applyAlignment="1">
      <alignment horizontal="left" vertical="top" wrapText="1"/>
    </xf>
    <xf numFmtId="0" fontId="18" fillId="5" borderId="19" xfId="1" applyFont="1" applyFill="1" applyBorder="1" applyAlignment="1">
      <alignment horizontal="left" vertical="top" wrapText="1"/>
    </xf>
    <xf numFmtId="0" fontId="18" fillId="6" borderId="19" xfId="1" applyFont="1" applyFill="1" applyBorder="1" applyAlignment="1">
      <alignment horizontal="left" vertical="top" wrapText="1"/>
    </xf>
    <xf numFmtId="0" fontId="18" fillId="5" borderId="18" xfId="1" applyFont="1" applyFill="1" applyBorder="1" applyAlignment="1">
      <alignment horizontal="left" vertical="top" wrapText="1"/>
    </xf>
    <xf numFmtId="0" fontId="18" fillId="6" borderId="18" xfId="1" applyFont="1" applyFill="1" applyBorder="1" applyAlignment="1">
      <alignment horizontal="left" vertical="top" wrapText="1"/>
    </xf>
    <xf numFmtId="0" fontId="18" fillId="5" borderId="23" xfId="1" applyFont="1" applyFill="1" applyBorder="1" applyAlignment="1">
      <alignment horizontal="left" vertical="top" wrapText="1"/>
    </xf>
    <xf numFmtId="0" fontId="9" fillId="5" borderId="17" xfId="1" applyFont="1" applyFill="1" applyBorder="1" applyAlignment="1">
      <alignment horizontal="left" vertical="top" wrapText="1"/>
    </xf>
    <xf numFmtId="0" fontId="9" fillId="6" borderId="16" xfId="1" applyFont="1" applyFill="1" applyBorder="1" applyAlignment="1">
      <alignment horizontal="left" vertical="top" wrapText="1" indent="1"/>
    </xf>
    <xf numFmtId="0" fontId="9" fillId="6" borderId="17" xfId="1" applyFont="1" applyFill="1" applyBorder="1" applyAlignment="1">
      <alignment horizontal="left" vertical="top" wrapText="1"/>
    </xf>
    <xf numFmtId="0" fontId="23" fillId="6" borderId="24" xfId="1" applyFont="1" applyFill="1" applyBorder="1" applyAlignment="1">
      <alignment horizontal="left" vertical="top" wrapText="1"/>
    </xf>
    <xf numFmtId="0" fontId="23" fillId="6" borderId="24" xfId="1" applyFont="1" applyFill="1" applyBorder="1" applyAlignment="1">
      <alignment horizontal="center" vertical="top" wrapText="1"/>
    </xf>
    <xf numFmtId="0" fontId="9" fillId="6" borderId="16" xfId="1" applyFont="1" applyFill="1" applyBorder="1" applyAlignment="1">
      <alignment horizontal="left" vertical="center" wrapText="1" indent="1"/>
    </xf>
    <xf numFmtId="0" fontId="19" fillId="4" borderId="26" xfId="1" applyFont="1" applyFill="1" applyBorder="1" applyAlignment="1">
      <alignment horizontal="center" vertical="center" wrapText="1"/>
    </xf>
    <xf numFmtId="0" fontId="21" fillId="5" borderId="19" xfId="1" applyFont="1" applyFill="1" applyBorder="1" applyAlignment="1">
      <alignment horizontal="left" vertical="top" wrapText="1"/>
    </xf>
    <xf numFmtId="0" fontId="21" fillId="6" borderId="19" xfId="1" applyFont="1" applyFill="1" applyBorder="1" applyAlignment="1">
      <alignment horizontal="left" vertical="top" wrapText="1"/>
    </xf>
    <xf numFmtId="0" fontId="21" fillId="6" borderId="25" xfId="1" applyFont="1" applyFill="1" applyBorder="1" applyAlignment="1">
      <alignment horizontal="left" vertical="top" wrapText="1"/>
    </xf>
    <xf numFmtId="0" fontId="20" fillId="4" borderId="35" xfId="1" applyFont="1" applyFill="1" applyBorder="1" applyAlignment="1">
      <alignment horizontal="center" vertical="center" wrapText="1"/>
    </xf>
    <xf numFmtId="0" fontId="19" fillId="4" borderId="36" xfId="1" applyFont="1" applyFill="1" applyBorder="1" applyAlignment="1">
      <alignment horizontal="center" vertical="center" wrapText="1"/>
    </xf>
    <xf numFmtId="2" fontId="20" fillId="5" borderId="37" xfId="1" applyNumberFormat="1" applyFont="1" applyFill="1" applyBorder="1" applyAlignment="1">
      <alignment horizontal="center" vertical="top" wrapText="1"/>
    </xf>
    <xf numFmtId="2" fontId="20" fillId="6" borderId="37" xfId="1" applyNumberFormat="1" applyFont="1" applyFill="1" applyBorder="1" applyAlignment="1">
      <alignment horizontal="center" vertical="top" wrapText="1"/>
    </xf>
    <xf numFmtId="2" fontId="20" fillId="5" borderId="37" xfId="1" applyNumberFormat="1" applyFont="1" applyFill="1" applyBorder="1" applyAlignment="1">
      <alignment horizontal="center" vertical="center" wrapText="1"/>
    </xf>
    <xf numFmtId="2" fontId="20" fillId="5" borderId="38" xfId="1" applyNumberFormat="1" applyFont="1" applyFill="1" applyBorder="1" applyAlignment="1">
      <alignment horizontal="center" vertical="top" wrapText="1"/>
    </xf>
    <xf numFmtId="2" fontId="20" fillId="6" borderId="39" xfId="1" applyNumberFormat="1" applyFont="1" applyFill="1" applyBorder="1" applyAlignment="1">
      <alignment horizontal="center" vertical="top" wrapText="1"/>
    </xf>
    <xf numFmtId="2" fontId="20" fillId="5" borderId="40" xfId="1" applyNumberFormat="1" applyFont="1" applyFill="1" applyBorder="1" applyAlignment="1">
      <alignment horizontal="center" vertical="top" wrapText="1"/>
    </xf>
    <xf numFmtId="2" fontId="20" fillId="6" borderId="40" xfId="1" applyNumberFormat="1" applyFont="1" applyFill="1" applyBorder="1" applyAlignment="1">
      <alignment horizontal="center" vertical="top" wrapText="1"/>
    </xf>
    <xf numFmtId="2" fontId="20" fillId="5" borderId="41" xfId="1" applyNumberFormat="1" applyFont="1" applyFill="1" applyBorder="1" applyAlignment="1">
      <alignment horizontal="center" vertical="top" wrapText="1"/>
    </xf>
    <xf numFmtId="0" fontId="0" fillId="0" borderId="3" xfId="0" applyBorder="1"/>
    <xf numFmtId="0" fontId="0" fillId="0" borderId="12" xfId="0" applyBorder="1"/>
    <xf numFmtId="2" fontId="20" fillId="6" borderId="42" xfId="1" applyNumberFormat="1" applyFont="1" applyFill="1" applyBorder="1" applyAlignment="1">
      <alignment horizontal="left" vertical="top" wrapText="1" indent="2"/>
    </xf>
    <xf numFmtId="2" fontId="20" fillId="5" borderId="40" xfId="1" applyNumberFormat="1" applyFont="1" applyFill="1" applyBorder="1" applyAlignment="1">
      <alignment horizontal="left" vertical="top" wrapText="1" indent="2"/>
    </xf>
    <xf numFmtId="2" fontId="20" fillId="6" borderId="40" xfId="1" applyNumberFormat="1" applyFont="1" applyFill="1" applyBorder="1" applyAlignment="1">
      <alignment horizontal="left" vertical="center" wrapText="1" indent="2"/>
    </xf>
    <xf numFmtId="0" fontId="21" fillId="6" borderId="43" xfId="1" applyFont="1" applyFill="1" applyBorder="1" applyAlignment="1">
      <alignment horizontal="left" vertical="top" wrapText="1"/>
    </xf>
    <xf numFmtId="0" fontId="9" fillId="6" borderId="44" xfId="1" applyFont="1" applyFill="1" applyBorder="1" applyAlignment="1">
      <alignment horizontal="left" vertical="top" wrapText="1" indent="1"/>
    </xf>
    <xf numFmtId="0" fontId="23" fillId="6" borderId="45" xfId="1" applyFont="1" applyFill="1" applyBorder="1" applyAlignment="1">
      <alignment horizontal="left" vertical="top" wrapText="1"/>
    </xf>
    <xf numFmtId="0" fontId="18" fillId="6" borderId="45" xfId="1" applyFont="1" applyFill="1" applyBorder="1" applyAlignment="1">
      <alignment horizontal="left" vertical="top" wrapText="1"/>
    </xf>
    <xf numFmtId="2" fontId="20" fillId="6" borderId="46" xfId="1" applyNumberFormat="1" applyFont="1" applyFill="1" applyBorder="1" applyAlignment="1">
      <alignment horizontal="left" vertical="top" wrapText="1" indent="2"/>
    </xf>
    <xf numFmtId="2" fontId="0" fillId="0" borderId="0" xfId="0" applyNumberFormat="1"/>
    <xf numFmtId="0" fontId="9" fillId="6" borderId="21" xfId="1" applyFont="1" applyFill="1" applyBorder="1" applyAlignment="1">
      <alignment horizontal="center" vertical="top" wrapText="1"/>
    </xf>
    <xf numFmtId="0" fontId="0" fillId="0" borderId="0" xfId="0" applyAlignment="1">
      <alignment horizontal="center"/>
    </xf>
    <xf numFmtId="0" fontId="8" fillId="0" borderId="0" xfId="0" applyFont="1" applyAlignment="1">
      <alignment horizontal="center"/>
    </xf>
    <xf numFmtId="0" fontId="16" fillId="0" borderId="9" xfId="0" applyFont="1" applyBorder="1" applyAlignment="1" applyProtection="1">
      <alignment horizontal="left" vertical="center"/>
      <protection hidden="1"/>
    </xf>
    <xf numFmtId="4" fontId="6" fillId="0" borderId="9" xfId="0" applyNumberFormat="1" applyFont="1" applyBorder="1" applyAlignment="1" applyProtection="1">
      <alignment horizontal="center" vertical="center"/>
      <protection hidden="1"/>
    </xf>
    <xf numFmtId="0" fontId="0" fillId="0" borderId="0" xfId="0" applyAlignment="1" applyProtection="1">
      <alignment horizontal="center" vertical="center"/>
    </xf>
    <xf numFmtId="0" fontId="0" fillId="0" borderId="0" xfId="0" applyProtection="1"/>
    <xf numFmtId="4" fontId="4" fillId="0" borderId="0" xfId="0" applyNumberFormat="1" applyFont="1" applyBorder="1" applyAlignment="1" applyProtection="1">
      <alignment horizontal="center" vertical="center" textRotation="90"/>
    </xf>
    <xf numFmtId="10" fontId="4" fillId="0" borderId="0" xfId="0" applyNumberFormat="1" applyFont="1" applyBorder="1" applyProtection="1"/>
    <xf numFmtId="4" fontId="7" fillId="0" borderId="0" xfId="0" applyNumberFormat="1" applyFont="1" applyFill="1" applyBorder="1" applyAlignment="1" applyProtection="1">
      <alignment horizontal="center" vertical="center"/>
    </xf>
    <xf numFmtId="0" fontId="0" fillId="0" borderId="0" xfId="0" applyBorder="1" applyProtection="1"/>
    <xf numFmtId="0" fontId="12" fillId="0" borderId="0" xfId="0" applyFont="1" applyBorder="1" applyAlignment="1" applyProtection="1">
      <alignment horizontal="left" vertical="top" wrapText="1"/>
    </xf>
    <xf numFmtId="0" fontId="0" fillId="0" borderId="0" xfId="0" applyAlignment="1" applyProtection="1">
      <alignment horizontal="center"/>
    </xf>
    <xf numFmtId="0" fontId="8" fillId="0" borderId="0" xfId="0" applyFont="1" applyBorder="1" applyAlignment="1" applyProtection="1">
      <alignment vertical="center"/>
    </xf>
    <xf numFmtId="9" fontId="8" fillId="0" borderId="0" xfId="1" applyNumberFormat="1" applyFont="1" applyFill="1" applyBorder="1" applyAlignment="1" applyProtection="1">
      <alignment horizontal="center" vertical="center"/>
    </xf>
    <xf numFmtId="2" fontId="20" fillId="7" borderId="16" xfId="1" applyNumberFormat="1" applyFont="1" applyFill="1" applyBorder="1" applyAlignment="1" applyProtection="1">
      <alignment horizontal="center" vertical="center" wrapText="1"/>
    </xf>
    <xf numFmtId="166" fontId="0" fillId="0" borderId="9" xfId="0" applyNumberFormat="1" applyBorder="1" applyAlignment="1" applyProtection="1">
      <alignment horizontal="center" vertical="center"/>
    </xf>
    <xf numFmtId="164" fontId="6" fillId="0" borderId="2" xfId="0" applyNumberFormat="1" applyFont="1" applyFill="1" applyBorder="1" applyAlignment="1" applyProtection="1">
      <alignment horizontal="center" vertical="center"/>
      <protection hidden="1"/>
    </xf>
    <xf numFmtId="166" fontId="8" fillId="0" borderId="0" xfId="0" applyNumberFormat="1" applyFont="1" applyAlignment="1" applyProtection="1">
      <alignment horizontal="center" vertical="center"/>
    </xf>
    <xf numFmtId="0" fontId="3" fillId="0" borderId="0" xfId="0" applyFont="1" applyBorder="1" applyAlignment="1" applyProtection="1">
      <alignment horizontal="center" vertical="center" textRotation="90" wrapText="1"/>
      <protection hidden="1"/>
    </xf>
    <xf numFmtId="0" fontId="0" fillId="0" borderId="0" xfId="0" applyBorder="1" applyAlignment="1" applyProtection="1">
      <alignment horizontal="center" vertical="center" textRotation="90" wrapText="1"/>
      <protection hidden="1"/>
    </xf>
    <xf numFmtId="0" fontId="0" fillId="0" borderId="2" xfId="0" applyBorder="1" applyAlignment="1" applyProtection="1">
      <alignment horizontal="center" vertical="center"/>
    </xf>
    <xf numFmtId="0" fontId="0" fillId="0" borderId="2" xfId="0" applyBorder="1" applyAlignment="1" applyProtection="1">
      <alignment vertical="center"/>
    </xf>
    <xf numFmtId="0" fontId="9" fillId="7" borderId="17" xfId="0" applyFont="1" applyFill="1" applyBorder="1" applyAlignment="1" applyProtection="1">
      <alignment horizontal="left" vertical="center" wrapText="1"/>
    </xf>
    <xf numFmtId="2" fontId="20" fillId="0" borderId="16" xfId="1" applyNumberFormat="1" applyFont="1" applyFill="1" applyBorder="1" applyAlignment="1" applyProtection="1">
      <alignment horizontal="center" vertical="center" wrapText="1"/>
    </xf>
    <xf numFmtId="0" fontId="9" fillId="0" borderId="17" xfId="1" applyFont="1" applyFill="1" applyBorder="1" applyAlignment="1" applyProtection="1">
      <alignment horizontal="left" vertical="center" wrapText="1"/>
    </xf>
    <xf numFmtId="0" fontId="5" fillId="0" borderId="48" xfId="0" applyFont="1" applyBorder="1" applyAlignment="1" applyProtection="1">
      <alignment horizontal="center" vertical="center"/>
      <protection hidden="1"/>
    </xf>
    <xf numFmtId="0" fontId="27" fillId="0" borderId="2" xfId="0" applyFont="1" applyFill="1" applyBorder="1" applyAlignment="1" applyProtection="1">
      <alignment horizontal="center" vertical="center"/>
      <protection hidden="1"/>
    </xf>
    <xf numFmtId="0" fontId="27" fillId="0" borderId="55" xfId="0" quotePrefix="1" applyFont="1" applyFill="1" applyBorder="1" applyAlignment="1" applyProtection="1">
      <alignment horizontal="center" vertical="center"/>
      <protection hidden="1"/>
    </xf>
    <xf numFmtId="0" fontId="27" fillId="0" borderId="55" xfId="0" applyFont="1" applyFill="1" applyBorder="1" applyAlignment="1" applyProtection="1">
      <alignment horizontal="center" vertical="center"/>
      <protection hidden="1"/>
    </xf>
    <xf numFmtId="10" fontId="30" fillId="0" borderId="2" xfId="0" applyNumberFormat="1" applyFont="1" applyBorder="1" applyAlignment="1" applyProtection="1">
      <alignment horizontal="center" vertical="center"/>
    </xf>
    <xf numFmtId="0" fontId="8" fillId="0" borderId="79" xfId="0" applyFont="1" applyBorder="1" applyAlignment="1" applyProtection="1">
      <alignment horizontal="center" vertical="center"/>
    </xf>
    <xf numFmtId="0" fontId="8" fillId="0" borderId="80" xfId="0" applyFont="1" applyBorder="1" applyAlignment="1" applyProtection="1">
      <alignment horizontal="center" vertical="center"/>
    </xf>
    <xf numFmtId="9" fontId="8" fillId="0" borderId="81" xfId="1" applyNumberFormat="1" applyFont="1" applyFill="1" applyBorder="1" applyAlignment="1" applyProtection="1">
      <alignment horizontal="center" vertical="center"/>
    </xf>
    <xf numFmtId="0" fontId="8" fillId="0" borderId="82" xfId="0" applyFont="1" applyBorder="1" applyAlignment="1" applyProtection="1">
      <alignment horizontal="center" vertical="center"/>
    </xf>
    <xf numFmtId="9" fontId="8" fillId="0" borderId="83" xfId="1" applyNumberFormat="1" applyFont="1" applyFill="1" applyBorder="1" applyAlignment="1" applyProtection="1">
      <alignment horizontal="center" vertical="center"/>
    </xf>
    <xf numFmtId="0" fontId="8" fillId="0" borderId="84" xfId="0" applyFont="1" applyBorder="1" applyAlignment="1" applyProtection="1">
      <alignment horizontal="center" vertical="center"/>
    </xf>
    <xf numFmtId="9" fontId="0" fillId="0" borderId="81" xfId="0" applyNumberFormat="1" applyBorder="1" applyAlignment="1" applyProtection="1">
      <alignment horizontal="center" vertical="center"/>
    </xf>
    <xf numFmtId="9" fontId="0" fillId="0" borderId="83" xfId="0" applyNumberFormat="1" applyBorder="1" applyAlignment="1" applyProtection="1">
      <alignment horizontal="center" vertical="center"/>
    </xf>
    <xf numFmtId="0" fontId="27" fillId="0" borderId="4" xfId="0" applyFont="1" applyBorder="1" applyAlignment="1" applyProtection="1">
      <alignment horizontal="center" vertical="center"/>
      <protection hidden="1"/>
    </xf>
    <xf numFmtId="10" fontId="30" fillId="0" borderId="68" xfId="0" applyNumberFormat="1" applyFont="1" applyBorder="1" applyAlignment="1" applyProtection="1">
      <alignment horizontal="center" vertical="center"/>
    </xf>
    <xf numFmtId="0" fontId="0" fillId="0" borderId="81" xfId="0" applyBorder="1" applyAlignment="1" applyProtection="1">
      <alignment horizontal="center" vertical="center"/>
    </xf>
    <xf numFmtId="0" fontId="0" fillId="0" borderId="87" xfId="0" applyBorder="1" applyAlignment="1" applyProtection="1">
      <alignment horizontal="center" vertical="center"/>
    </xf>
    <xf numFmtId="0" fontId="0" fillId="0" borderId="83" xfId="0" applyBorder="1" applyAlignment="1" applyProtection="1">
      <alignment horizontal="center" vertical="center"/>
    </xf>
    <xf numFmtId="10" fontId="0" fillId="0" borderId="82" xfId="0" applyNumberFormat="1" applyBorder="1" applyAlignment="1" applyProtection="1">
      <alignment horizontal="center" vertical="center"/>
    </xf>
    <xf numFmtId="10" fontId="0" fillId="0" borderId="91" xfId="0" applyNumberFormat="1" applyBorder="1" applyAlignment="1" applyProtection="1">
      <alignment horizontal="center" vertical="center"/>
    </xf>
    <xf numFmtId="10" fontId="0" fillId="0" borderId="91" xfId="0" applyNumberFormat="1" applyFill="1" applyBorder="1" applyAlignment="1" applyProtection="1">
      <alignment horizontal="center" vertical="center"/>
    </xf>
    <xf numFmtId="10" fontId="0" fillId="0" borderId="84" xfId="0" applyNumberFormat="1" applyFill="1" applyBorder="1" applyAlignment="1" applyProtection="1">
      <alignment horizontal="center" vertical="center"/>
    </xf>
    <xf numFmtId="166" fontId="0" fillId="0" borderId="81" xfId="0" applyNumberFormat="1" applyBorder="1" applyAlignment="1" applyProtection="1">
      <alignment horizontal="center" vertical="center"/>
    </xf>
    <xf numFmtId="166" fontId="0" fillId="0" borderId="82" xfId="0" applyNumberFormat="1" applyBorder="1" applyAlignment="1" applyProtection="1">
      <alignment horizontal="center" vertical="center"/>
    </xf>
    <xf numFmtId="166" fontId="0" fillId="0" borderId="87" xfId="0" applyNumberFormat="1" applyBorder="1" applyAlignment="1" applyProtection="1">
      <alignment horizontal="center" vertical="center"/>
    </xf>
    <xf numFmtId="166" fontId="0" fillId="0" borderId="91" xfId="0" applyNumberFormat="1" applyBorder="1" applyAlignment="1" applyProtection="1">
      <alignment horizontal="center" vertical="center"/>
    </xf>
    <xf numFmtId="166" fontId="0" fillId="0" borderId="83" xfId="0" applyNumberFormat="1" applyBorder="1" applyAlignment="1" applyProtection="1">
      <alignment horizontal="center" vertical="center"/>
    </xf>
    <xf numFmtId="166" fontId="0" fillId="0" borderId="84" xfId="0" applyNumberFormat="1" applyBorder="1" applyAlignment="1" applyProtection="1">
      <alignment horizontal="center" vertical="center"/>
    </xf>
    <xf numFmtId="166" fontId="8" fillId="0" borderId="79" xfId="0" applyNumberFormat="1" applyFont="1" applyBorder="1" applyAlignment="1" applyProtection="1">
      <alignment horizontal="center" vertical="center"/>
    </xf>
    <xf numFmtId="166" fontId="8" fillId="0" borderId="95" xfId="0" applyNumberFormat="1" applyFont="1" applyBorder="1" applyAlignment="1" applyProtection="1">
      <alignment horizontal="center" vertical="center"/>
    </xf>
    <xf numFmtId="166" fontId="8" fillId="0" borderId="80" xfId="0" applyNumberFormat="1" applyFont="1" applyBorder="1" applyAlignment="1" applyProtection="1">
      <alignment horizontal="center" vertical="center"/>
    </xf>
    <xf numFmtId="0" fontId="8" fillId="0" borderId="0" xfId="0" applyFont="1" applyBorder="1" applyAlignment="1" applyProtection="1">
      <alignment horizontal="center" vertical="center"/>
    </xf>
    <xf numFmtId="0" fontId="8" fillId="0" borderId="71" xfId="0" applyFont="1" applyBorder="1" applyAlignment="1" applyProtection="1">
      <alignment horizontal="center" vertical="center"/>
    </xf>
    <xf numFmtId="0" fontId="26" fillId="0" borderId="0" xfId="0" applyFont="1" applyFill="1" applyBorder="1" applyAlignment="1" applyProtection="1">
      <alignment horizontal="center" vertical="center"/>
      <protection hidden="1"/>
    </xf>
    <xf numFmtId="0" fontId="15" fillId="0" borderId="78" xfId="0" applyFont="1" applyFill="1" applyBorder="1" applyAlignment="1" applyProtection="1">
      <alignment horizontal="center" vertical="center" wrapText="1"/>
      <protection hidden="1"/>
    </xf>
    <xf numFmtId="166" fontId="30" fillId="0" borderId="1" xfId="0" applyNumberFormat="1" applyFont="1" applyBorder="1" applyAlignment="1" applyProtection="1">
      <alignment horizontal="center" vertical="center"/>
    </xf>
    <xf numFmtId="165" fontId="10" fillId="0" borderId="47" xfId="0" applyNumberFormat="1" applyFont="1" applyFill="1" applyBorder="1" applyAlignment="1" applyProtection="1">
      <alignment horizontal="center" vertical="center"/>
      <protection hidden="1"/>
    </xf>
    <xf numFmtId="165" fontId="10" fillId="0" borderId="93" xfId="0" applyNumberFormat="1" applyFont="1" applyFill="1" applyBorder="1" applyAlignment="1" applyProtection="1">
      <alignment horizontal="center" vertical="center"/>
      <protection hidden="1"/>
    </xf>
    <xf numFmtId="4" fontId="41" fillId="0" borderId="0" xfId="0" applyNumberFormat="1" applyFont="1" applyBorder="1" applyAlignment="1" applyProtection="1">
      <alignment horizontal="center" vertical="center" textRotation="90"/>
    </xf>
    <xf numFmtId="0" fontId="30" fillId="0" borderId="0" xfId="0" applyFont="1" applyProtection="1"/>
    <xf numFmtId="166" fontId="30" fillId="0" borderId="0" xfId="0" applyNumberFormat="1" applyFont="1" applyProtection="1"/>
    <xf numFmtId="4" fontId="42" fillId="0" borderId="0" xfId="0" applyNumberFormat="1" applyFont="1" applyFill="1" applyBorder="1" applyAlignment="1" applyProtection="1">
      <alignment horizontal="center" vertical="center"/>
    </xf>
    <xf numFmtId="164" fontId="27" fillId="0" borderId="2" xfId="0" applyNumberFormat="1" applyFont="1" applyFill="1" applyBorder="1" applyAlignment="1" applyProtection="1">
      <alignment horizontal="center" vertical="center"/>
      <protection hidden="1"/>
    </xf>
    <xf numFmtId="164" fontId="27" fillId="0" borderId="91" xfId="0" applyNumberFormat="1" applyFont="1" applyFill="1" applyBorder="1" applyAlignment="1" applyProtection="1">
      <alignment horizontal="center" vertical="center"/>
      <protection hidden="1"/>
    </xf>
    <xf numFmtId="166" fontId="27" fillId="0" borderId="51" xfId="0" applyNumberFormat="1" applyFont="1" applyBorder="1" applyAlignment="1" applyProtection="1">
      <alignment horizontal="center" vertical="center"/>
      <protection hidden="1"/>
    </xf>
    <xf numFmtId="166" fontId="27" fillId="0" borderId="52" xfId="0" applyNumberFormat="1" applyFont="1" applyBorder="1" applyAlignment="1" applyProtection="1">
      <alignment horizontal="center" vertical="center"/>
      <protection hidden="1"/>
    </xf>
    <xf numFmtId="166" fontId="27" fillId="0" borderId="2" xfId="0" applyNumberFormat="1" applyFont="1" applyFill="1" applyBorder="1" applyAlignment="1" applyProtection="1">
      <alignment horizontal="center" vertical="center" textRotation="90" wrapText="1"/>
      <protection hidden="1"/>
    </xf>
    <xf numFmtId="166" fontId="27" fillId="0" borderId="91" xfId="0" applyNumberFormat="1" applyFont="1" applyFill="1" applyBorder="1" applyAlignment="1" applyProtection="1">
      <alignment horizontal="center" vertical="center" textRotation="90" wrapText="1"/>
      <protection hidden="1"/>
    </xf>
    <xf numFmtId="0" fontId="30" fillId="0" borderId="55" xfId="0" applyFont="1" applyBorder="1" applyAlignment="1" applyProtection="1">
      <alignment horizontal="center"/>
    </xf>
    <xf numFmtId="166" fontId="30" fillId="0" borderId="2" xfId="0" applyNumberFormat="1" applyFont="1" applyBorder="1" applyAlignment="1" applyProtection="1">
      <alignment horizontal="center" vertical="center"/>
    </xf>
    <xf numFmtId="166" fontId="30" fillId="0" borderId="68" xfId="0" applyNumberFormat="1" applyFont="1" applyBorder="1" applyAlignment="1" applyProtection="1">
      <alignment horizontal="center" vertical="center"/>
    </xf>
    <xf numFmtId="0" fontId="29" fillId="0" borderId="0" xfId="0" applyFont="1" applyFill="1" applyBorder="1" applyAlignment="1" applyProtection="1">
      <alignment horizontal="center" vertical="center"/>
    </xf>
    <xf numFmtId="166" fontId="30" fillId="0" borderId="82" xfId="0" applyNumberFormat="1" applyFont="1" applyBorder="1" applyAlignment="1" applyProtection="1">
      <alignment horizontal="center" vertical="center"/>
    </xf>
    <xf numFmtId="166" fontId="30" fillId="0" borderId="84" xfId="0" applyNumberFormat="1" applyFont="1" applyBorder="1" applyAlignment="1" applyProtection="1">
      <alignment horizontal="center" vertical="center"/>
    </xf>
    <xf numFmtId="166" fontId="10" fillId="3" borderId="10" xfId="0" applyNumberFormat="1" applyFont="1" applyFill="1" applyBorder="1" applyAlignment="1" applyProtection="1">
      <alignment horizontal="center" vertical="center" textRotation="90" wrapText="1"/>
      <protection locked="0"/>
    </xf>
    <xf numFmtId="166" fontId="10" fillId="3" borderId="91" xfId="0" applyNumberFormat="1" applyFont="1" applyFill="1" applyBorder="1" applyAlignment="1" applyProtection="1">
      <alignment horizontal="center" vertical="center" textRotation="90" wrapText="1"/>
      <protection locked="0"/>
    </xf>
    <xf numFmtId="0" fontId="10" fillId="8" borderId="2" xfId="0" applyFont="1" applyFill="1" applyBorder="1" applyAlignment="1" applyProtection="1">
      <alignment horizontal="center" vertical="center" wrapText="1" shrinkToFit="1"/>
      <protection locked="0"/>
    </xf>
    <xf numFmtId="0" fontId="29" fillId="0" borderId="9" xfId="0" applyFont="1" applyFill="1" applyBorder="1" applyAlignment="1" applyProtection="1">
      <alignment horizontal="center" vertical="center"/>
    </xf>
    <xf numFmtId="166" fontId="10" fillId="0" borderId="10" xfId="0" applyNumberFormat="1" applyFont="1" applyFill="1" applyBorder="1" applyAlignment="1" applyProtection="1">
      <alignment horizontal="center" vertical="center"/>
      <protection hidden="1"/>
    </xf>
    <xf numFmtId="166" fontId="10" fillId="0" borderId="66" xfId="0" applyNumberFormat="1" applyFont="1" applyFill="1" applyBorder="1" applyAlignment="1" applyProtection="1">
      <alignment horizontal="center" vertical="center"/>
      <protection hidden="1"/>
    </xf>
    <xf numFmtId="0" fontId="0" fillId="10" borderId="3" xfId="0" applyFill="1" applyBorder="1" applyProtection="1"/>
    <xf numFmtId="0" fontId="0" fillId="10" borderId="0" xfId="0" applyFill="1" applyBorder="1" applyProtection="1"/>
    <xf numFmtId="0" fontId="29" fillId="0" borderId="0" xfId="0" applyFont="1" applyFill="1" applyProtection="1"/>
    <xf numFmtId="0" fontId="29" fillId="0" borderId="0" xfId="0" applyFont="1" applyProtection="1"/>
    <xf numFmtId="4" fontId="42" fillId="0" borderId="60" xfId="0" applyNumberFormat="1" applyFont="1" applyBorder="1" applyAlignment="1" applyProtection="1">
      <alignment horizontal="center" vertical="center"/>
    </xf>
    <xf numFmtId="166" fontId="31" fillId="0" borderId="12" xfId="0" applyNumberFormat="1" applyFont="1" applyFill="1" applyBorder="1" applyAlignment="1" applyProtection="1">
      <alignment horizontal="center" vertical="center" textRotation="90" wrapText="1"/>
      <protection hidden="1"/>
    </xf>
    <xf numFmtId="0" fontId="2" fillId="0" borderId="12" xfId="0" applyFont="1" applyBorder="1" applyProtection="1"/>
    <xf numFmtId="4" fontId="7" fillId="0" borderId="12" xfId="0" applyNumberFormat="1" applyFont="1" applyBorder="1" applyAlignment="1" applyProtection="1">
      <alignment horizontal="center" vertical="center"/>
    </xf>
    <xf numFmtId="4" fontId="42" fillId="0" borderId="69" xfId="0" applyNumberFormat="1" applyFont="1" applyBorder="1" applyAlignment="1" applyProtection="1">
      <alignment horizontal="center" vertical="center"/>
    </xf>
    <xf numFmtId="0" fontId="6" fillId="0" borderId="7" xfId="0" applyFont="1" applyFill="1" applyBorder="1" applyAlignment="1" applyProtection="1">
      <alignment horizontal="center" vertical="center" wrapText="1" shrinkToFit="1"/>
      <protection hidden="1"/>
    </xf>
    <xf numFmtId="0" fontId="0" fillId="0" borderId="7" xfId="0" applyFill="1" applyBorder="1" applyAlignment="1" applyProtection="1">
      <alignment horizontal="center"/>
      <protection hidden="1"/>
    </xf>
    <xf numFmtId="0" fontId="0" fillId="0" borderId="7" xfId="0" applyFill="1" applyBorder="1" applyAlignment="1" applyProtection="1">
      <protection hidden="1"/>
    </xf>
    <xf numFmtId="9" fontId="5" fillId="0" borderId="7" xfId="0" applyNumberFormat="1" applyFont="1" applyFill="1" applyBorder="1" applyAlignment="1" applyProtection="1">
      <alignment horizontal="center" vertical="center"/>
      <protection hidden="1"/>
    </xf>
    <xf numFmtId="0" fontId="5" fillId="0" borderId="7" xfId="0" applyFont="1" applyFill="1" applyBorder="1" applyAlignment="1" applyProtection="1">
      <alignment horizontal="center" vertical="center"/>
      <protection hidden="1"/>
    </xf>
    <xf numFmtId="4" fontId="5" fillId="0" borderId="7" xfId="0" applyNumberFormat="1" applyFont="1" applyFill="1" applyBorder="1" applyAlignment="1" applyProtection="1">
      <alignment horizontal="center" vertical="center"/>
      <protection hidden="1"/>
    </xf>
    <xf numFmtId="0" fontId="46" fillId="11" borderId="58" xfId="0" applyFont="1" applyFill="1" applyBorder="1" applyAlignment="1" applyProtection="1">
      <alignment horizontal="center" vertical="center"/>
    </xf>
    <xf numFmtId="0" fontId="30" fillId="11" borderId="57" xfId="0" applyFont="1" applyFill="1" applyBorder="1" applyAlignment="1" applyProtection="1"/>
    <xf numFmtId="49" fontId="10" fillId="11" borderId="68" xfId="0" applyNumberFormat="1" applyFont="1" applyFill="1" applyBorder="1" applyAlignment="1" applyProtection="1">
      <alignment horizontal="center" vertical="center"/>
      <protection hidden="1"/>
    </xf>
    <xf numFmtId="49" fontId="10" fillId="11" borderId="67" xfId="0" applyNumberFormat="1" applyFont="1" applyFill="1" applyBorder="1" applyAlignment="1" applyProtection="1">
      <alignment horizontal="center" vertical="center"/>
      <protection hidden="1"/>
    </xf>
    <xf numFmtId="166" fontId="33" fillId="11" borderId="58" xfId="0" applyNumberFormat="1" applyFont="1" applyFill="1" applyBorder="1" applyAlignment="1" applyProtection="1">
      <alignment horizontal="center" vertical="center"/>
    </xf>
    <xf numFmtId="166" fontId="33" fillId="11" borderId="78" xfId="0" applyNumberFormat="1" applyFont="1" applyFill="1" applyBorder="1" applyAlignment="1" applyProtection="1">
      <alignment horizontal="center" vertical="center"/>
    </xf>
    <xf numFmtId="166" fontId="33" fillId="11" borderId="65" xfId="0" applyNumberFormat="1" applyFont="1" applyFill="1" applyBorder="1" applyAlignment="1" applyProtection="1">
      <alignment horizontal="center" vertical="center"/>
    </xf>
    <xf numFmtId="166" fontId="33" fillId="11" borderId="68" xfId="0" applyNumberFormat="1" applyFont="1" applyFill="1" applyBorder="1" applyAlignment="1" applyProtection="1">
      <alignment horizontal="center" vertical="center"/>
    </xf>
    <xf numFmtId="166" fontId="33" fillId="9" borderId="58" xfId="0" applyNumberFormat="1" applyFont="1" applyFill="1" applyBorder="1" applyAlignment="1" applyProtection="1">
      <alignment horizontal="center" vertical="center"/>
    </xf>
    <xf numFmtId="166" fontId="33" fillId="9" borderId="78" xfId="0" applyNumberFormat="1" applyFont="1" applyFill="1" applyBorder="1" applyAlignment="1" applyProtection="1">
      <alignment horizontal="center" vertical="center"/>
    </xf>
    <xf numFmtId="166" fontId="33" fillId="9" borderId="65" xfId="0" applyNumberFormat="1" applyFont="1" applyFill="1" applyBorder="1" applyAlignment="1" applyProtection="1">
      <alignment horizontal="center" vertical="center"/>
    </xf>
    <xf numFmtId="166" fontId="33" fillId="9" borderId="68" xfId="0" applyNumberFormat="1" applyFont="1" applyFill="1" applyBorder="1" applyAlignment="1" applyProtection="1">
      <alignment horizontal="center" vertical="center"/>
    </xf>
    <xf numFmtId="166" fontId="33" fillId="10" borderId="69" xfId="0" applyNumberFormat="1" applyFont="1" applyFill="1" applyBorder="1" applyAlignment="1" applyProtection="1">
      <alignment horizontal="center" vertical="center"/>
    </xf>
    <xf numFmtId="166" fontId="33" fillId="10" borderId="57" xfId="0" applyNumberFormat="1" applyFont="1" applyFill="1" applyBorder="1" applyAlignment="1" applyProtection="1">
      <alignment horizontal="center" vertical="center"/>
    </xf>
    <xf numFmtId="0" fontId="8" fillId="0" borderId="0" xfId="0" applyFont="1"/>
    <xf numFmtId="0" fontId="0" fillId="0" borderId="0" xfId="0" applyAlignment="1">
      <alignment horizontal="center" vertical="center"/>
    </xf>
    <xf numFmtId="0" fontId="0" fillId="0" borderId="0" xfId="0" applyAlignment="1">
      <alignment vertical="center"/>
    </xf>
    <xf numFmtId="0" fontId="3" fillId="0" borderId="87" xfId="0" applyFont="1" applyBorder="1" applyAlignment="1">
      <alignment horizontal="center" vertical="center"/>
    </xf>
    <xf numFmtId="0" fontId="1" fillId="11" borderId="87" xfId="0" applyFont="1" applyFill="1" applyBorder="1" applyAlignment="1">
      <alignment horizontal="center" vertical="center"/>
    </xf>
    <xf numFmtId="0" fontId="1" fillId="11" borderId="2" xfId="0" applyFont="1" applyFill="1" applyBorder="1" applyAlignment="1">
      <alignment horizontal="center" vertical="center"/>
    </xf>
    <xf numFmtId="0" fontId="1" fillId="11" borderId="2" xfId="0" applyFont="1" applyFill="1" applyBorder="1" applyAlignment="1">
      <alignment vertical="center" wrapText="1"/>
    </xf>
    <xf numFmtId="166" fontId="1" fillId="11" borderId="2" xfId="0" applyNumberFormat="1" applyFont="1" applyFill="1" applyBorder="1" applyAlignment="1">
      <alignment horizontal="right" vertical="center"/>
    </xf>
    <xf numFmtId="0" fontId="1" fillId="9" borderId="87" xfId="0" applyFont="1" applyFill="1" applyBorder="1" applyAlignment="1">
      <alignment horizontal="center" vertical="center"/>
    </xf>
    <xf numFmtId="0" fontId="1" fillId="9" borderId="2" xfId="0" applyFont="1" applyFill="1" applyBorder="1" applyAlignment="1">
      <alignment horizontal="center" vertical="center"/>
    </xf>
    <xf numFmtId="0" fontId="1" fillId="9" borderId="2" xfId="0" applyFont="1" applyFill="1" applyBorder="1" applyAlignment="1">
      <alignment vertical="center" wrapText="1"/>
    </xf>
    <xf numFmtId="166" fontId="1" fillId="9" borderId="2" xfId="0" applyNumberFormat="1" applyFont="1" applyFill="1" applyBorder="1" applyAlignment="1">
      <alignment horizontal="right" vertical="center"/>
    </xf>
    <xf numFmtId="166" fontId="1" fillId="9" borderId="91" xfId="0" applyNumberFormat="1" applyFont="1" applyFill="1" applyBorder="1" applyAlignment="1">
      <alignment horizontal="right" vertical="center"/>
    </xf>
    <xf numFmtId="0" fontId="1" fillId="12" borderId="87" xfId="0" applyFont="1" applyFill="1" applyBorder="1" applyAlignment="1">
      <alignment horizontal="center" vertical="center"/>
    </xf>
    <xf numFmtId="0" fontId="1" fillId="12" borderId="2" xfId="0" applyFont="1" applyFill="1" applyBorder="1" applyAlignment="1">
      <alignment horizontal="center" vertical="center"/>
    </xf>
    <xf numFmtId="0" fontId="1" fillId="12" borderId="2" xfId="0" applyFont="1" applyFill="1" applyBorder="1" applyAlignment="1">
      <alignment vertical="center" wrapText="1"/>
    </xf>
    <xf numFmtId="166" fontId="1" fillId="12" borderId="2" xfId="0" applyNumberFormat="1" applyFont="1" applyFill="1" applyBorder="1" applyAlignment="1">
      <alignment horizontal="right" vertical="center"/>
    </xf>
    <xf numFmtId="166" fontId="1" fillId="12" borderId="91" xfId="0" applyNumberFormat="1" applyFont="1" applyFill="1" applyBorder="1" applyAlignment="1">
      <alignment horizontal="right" vertical="center"/>
    </xf>
    <xf numFmtId="0" fontId="1" fillId="0" borderId="70" xfId="0" applyFont="1" applyBorder="1" applyProtection="1"/>
    <xf numFmtId="0" fontId="0" fillId="0" borderId="71" xfId="0" applyBorder="1" applyAlignment="1" applyProtection="1">
      <alignment horizontal="center" vertical="center"/>
    </xf>
    <xf numFmtId="0" fontId="1" fillId="0" borderId="71" xfId="0" applyFont="1" applyBorder="1" applyAlignment="1" applyProtection="1">
      <alignment horizontal="center" vertical="center"/>
    </xf>
    <xf numFmtId="0" fontId="2" fillId="0" borderId="71" xfId="0" applyFont="1" applyBorder="1" applyProtection="1"/>
    <xf numFmtId="0" fontId="0" fillId="0" borderId="71" xfId="0" applyBorder="1" applyProtection="1"/>
    <xf numFmtId="0" fontId="0" fillId="0" borderId="85" xfId="0" applyBorder="1" applyProtection="1"/>
    <xf numFmtId="0" fontId="52" fillId="0" borderId="10" xfId="0" applyFont="1" applyBorder="1" applyAlignment="1" applyProtection="1">
      <alignment horizontal="center" vertical="center" textRotation="90" wrapText="1"/>
      <protection hidden="1"/>
    </xf>
    <xf numFmtId="0" fontId="52" fillId="0" borderId="91" xfId="0" applyFont="1" applyBorder="1" applyAlignment="1" applyProtection="1">
      <alignment horizontal="center" vertical="center" textRotation="90" wrapText="1"/>
      <protection hidden="1"/>
    </xf>
    <xf numFmtId="0" fontId="52" fillId="0" borderId="2" xfId="0" applyFont="1" applyFill="1" applyBorder="1" applyAlignment="1" applyProtection="1">
      <alignment horizontal="center" vertical="center"/>
    </xf>
    <xf numFmtId="0" fontId="52" fillId="0" borderId="91" xfId="0" applyFont="1" applyFill="1" applyBorder="1" applyAlignment="1" applyProtection="1">
      <alignment horizontal="center" vertical="center"/>
    </xf>
    <xf numFmtId="0" fontId="53" fillId="8" borderId="2" xfId="0" applyFont="1" applyFill="1" applyBorder="1" applyAlignment="1" applyProtection="1">
      <alignment horizontal="center" vertical="center" textRotation="90" wrapText="1"/>
      <protection locked="0"/>
    </xf>
    <xf numFmtId="0" fontId="53" fillId="8" borderId="91" xfId="0" applyFont="1" applyFill="1" applyBorder="1" applyAlignment="1" applyProtection="1">
      <alignment horizontal="center" vertical="center" textRotation="90" wrapText="1"/>
      <protection locked="0"/>
    </xf>
    <xf numFmtId="0" fontId="0" fillId="0" borderId="0" xfId="0" applyBorder="1" applyAlignment="1">
      <alignment horizontal="left" vertical="center" wrapText="1"/>
    </xf>
    <xf numFmtId="0" fontId="0" fillId="0" borderId="99" xfId="0" applyBorder="1" applyAlignment="1">
      <alignment horizontal="left" vertical="center" wrapText="1"/>
    </xf>
    <xf numFmtId="166" fontId="3" fillId="11" borderId="2" xfId="0" applyNumberFormat="1" applyFont="1" applyFill="1" applyBorder="1" applyAlignment="1">
      <alignment horizontal="right" vertical="center"/>
    </xf>
    <xf numFmtId="4" fontId="27" fillId="0" borderId="49" xfId="0" applyNumberFormat="1" applyFont="1" applyBorder="1" applyAlignment="1" applyProtection="1">
      <alignment horizontal="center" vertical="center"/>
      <protection hidden="1"/>
    </xf>
    <xf numFmtId="0" fontId="27" fillId="0" borderId="5" xfId="0" applyFont="1" applyBorder="1" applyAlignment="1" applyProtection="1">
      <alignment horizontal="center" vertical="center"/>
      <protection hidden="1"/>
    </xf>
    <xf numFmtId="0" fontId="5" fillId="0" borderId="51" xfId="0" applyFont="1" applyBorder="1" applyAlignment="1" applyProtection="1">
      <alignment horizontal="center" vertical="center"/>
      <protection hidden="1"/>
    </xf>
    <xf numFmtId="10" fontId="27" fillId="0" borderId="2" xfId="0" applyNumberFormat="1" applyFont="1" applyBorder="1" applyAlignment="1" applyProtection="1">
      <alignment horizontal="center" vertical="center"/>
      <protection hidden="1"/>
    </xf>
    <xf numFmtId="10" fontId="27" fillId="0" borderId="91" xfId="0" applyNumberFormat="1" applyFont="1" applyBorder="1" applyAlignment="1" applyProtection="1">
      <alignment horizontal="center" vertical="center"/>
      <protection hidden="1"/>
    </xf>
    <xf numFmtId="166" fontId="42" fillId="0" borderId="12" xfId="0" applyNumberFormat="1" applyFont="1" applyBorder="1" applyAlignment="1" applyProtection="1">
      <alignment horizontal="center" vertical="center"/>
    </xf>
    <xf numFmtId="166" fontId="27" fillId="0" borderId="94" xfId="0" applyNumberFormat="1" applyFont="1" applyBorder="1" applyAlignment="1" applyProtection="1">
      <alignment horizontal="center" vertical="center"/>
      <protection hidden="1"/>
    </xf>
    <xf numFmtId="166" fontId="27" fillId="0" borderId="107" xfId="0" applyNumberFormat="1" applyFont="1" applyBorder="1" applyAlignment="1" applyProtection="1">
      <alignment horizontal="center" vertical="center"/>
      <protection hidden="1"/>
    </xf>
    <xf numFmtId="0" fontId="0" fillId="9" borderId="2" xfId="0" applyFill="1" applyBorder="1" applyAlignment="1" applyProtection="1">
      <alignment horizontal="center" vertical="center"/>
    </xf>
    <xf numFmtId="0" fontId="0" fillId="9" borderId="68" xfId="0" applyFill="1" applyBorder="1" applyAlignment="1" applyProtection="1">
      <alignment horizontal="center" vertical="center"/>
    </xf>
    <xf numFmtId="0" fontId="0" fillId="10" borderId="2" xfId="0" applyFill="1" applyBorder="1" applyAlignment="1" applyProtection="1">
      <alignment horizontal="center" vertical="center"/>
    </xf>
    <xf numFmtId="0" fontId="0" fillId="10" borderId="68" xfId="0" applyFill="1" applyBorder="1" applyAlignment="1" applyProtection="1">
      <alignment horizontal="center" vertical="center"/>
    </xf>
    <xf numFmtId="0" fontId="33" fillId="8" borderId="9" xfId="0" applyFont="1" applyFill="1" applyBorder="1" applyAlignment="1" applyProtection="1">
      <alignment horizontal="left" vertical="center"/>
      <protection hidden="1"/>
    </xf>
    <xf numFmtId="0" fontId="33" fillId="3" borderId="57" xfId="0" applyFont="1" applyFill="1" applyBorder="1" applyAlignment="1" applyProtection="1">
      <alignment horizontal="left" vertical="center"/>
      <protection hidden="1"/>
    </xf>
    <xf numFmtId="166" fontId="28" fillId="9" borderId="78" xfId="0" applyNumberFormat="1" applyFont="1" applyFill="1" applyBorder="1" applyAlignment="1" applyProtection="1">
      <alignment horizontal="center" vertical="center"/>
    </xf>
    <xf numFmtId="166" fontId="28" fillId="10" borderId="2" xfId="0" applyNumberFormat="1" applyFont="1" applyFill="1" applyBorder="1" applyAlignment="1" applyProtection="1">
      <alignment horizontal="center" vertical="center"/>
    </xf>
    <xf numFmtId="166" fontId="28" fillId="10" borderId="78" xfId="0" applyNumberFormat="1" applyFont="1" applyFill="1" applyBorder="1" applyAlignment="1" applyProtection="1">
      <alignment horizontal="center" vertical="center"/>
    </xf>
    <xf numFmtId="166" fontId="28" fillId="9" borderId="2" xfId="0" applyNumberFormat="1" applyFont="1" applyFill="1" applyBorder="1" applyAlignment="1" applyProtection="1">
      <alignment horizontal="center" vertical="center"/>
    </xf>
    <xf numFmtId="166" fontId="35" fillId="0" borderId="78" xfId="0" applyNumberFormat="1" applyFont="1" applyFill="1" applyBorder="1" applyAlignment="1" applyProtection="1">
      <alignment horizontal="center" vertical="center" wrapText="1"/>
    </xf>
    <xf numFmtId="2" fontId="27" fillId="0" borderId="2" xfId="0" applyNumberFormat="1" applyFont="1" applyBorder="1" applyAlignment="1" applyProtection="1">
      <alignment horizontal="center" vertical="center"/>
      <protection hidden="1"/>
    </xf>
    <xf numFmtId="166" fontId="47" fillId="0" borderId="82" xfId="0" applyNumberFormat="1" applyFont="1" applyFill="1" applyBorder="1" applyAlignment="1" applyProtection="1">
      <alignment horizontal="center" vertical="center"/>
      <protection hidden="1"/>
    </xf>
    <xf numFmtId="166" fontId="47" fillId="0" borderId="84" xfId="0" applyNumberFormat="1" applyFont="1" applyFill="1" applyBorder="1" applyAlignment="1" applyProtection="1">
      <alignment horizontal="center" vertical="center"/>
      <protection hidden="1"/>
    </xf>
    <xf numFmtId="0" fontId="30" fillId="0" borderId="4" xfId="0" applyFont="1" applyFill="1" applyBorder="1" applyAlignment="1" applyProtection="1">
      <alignment horizontal="center" vertical="center" wrapText="1"/>
    </xf>
    <xf numFmtId="166" fontId="54" fillId="0" borderId="53" xfId="0" applyNumberFormat="1" applyFont="1" applyFill="1" applyBorder="1" applyAlignment="1" applyProtection="1">
      <alignment horizontal="center" vertical="center" wrapText="1"/>
    </xf>
    <xf numFmtId="0" fontId="10" fillId="13" borderId="81" xfId="0" applyFont="1" applyFill="1" applyBorder="1" applyAlignment="1">
      <alignment horizontal="center" vertical="center"/>
    </xf>
    <xf numFmtId="0" fontId="10" fillId="13" borderId="83" xfId="0" applyFont="1" applyFill="1" applyBorder="1" applyAlignment="1">
      <alignment horizontal="center" vertical="center"/>
    </xf>
    <xf numFmtId="0" fontId="10" fillId="0" borderId="81" xfId="0" applyFont="1" applyBorder="1" applyAlignment="1">
      <alignment horizontal="center" vertical="center"/>
    </xf>
    <xf numFmtId="0" fontId="1" fillId="12" borderId="83" xfId="0" applyFont="1" applyFill="1" applyBorder="1" applyAlignment="1">
      <alignment horizontal="center" vertical="center"/>
    </xf>
    <xf numFmtId="0" fontId="51" fillId="12" borderId="68" xfId="0" applyFont="1" applyFill="1" applyBorder="1" applyAlignment="1">
      <alignment horizontal="center" vertical="center"/>
    </xf>
    <xf numFmtId="0" fontId="1" fillId="12" borderId="68" xfId="0" applyFont="1" applyFill="1" applyBorder="1" applyAlignment="1">
      <alignment vertical="center" wrapText="1"/>
    </xf>
    <xf numFmtId="0" fontId="27" fillId="0" borderId="0" xfId="0" applyFont="1" applyAlignment="1">
      <alignment horizontal="center"/>
    </xf>
    <xf numFmtId="0" fontId="27" fillId="0" borderId="0" xfId="0" applyFont="1"/>
    <xf numFmtId="0" fontId="10" fillId="0" borderId="83" xfId="0" applyFont="1" applyBorder="1" applyAlignment="1">
      <alignment horizontal="center" vertical="center"/>
    </xf>
    <xf numFmtId="0" fontId="1" fillId="9" borderId="58" xfId="0" applyFont="1" applyFill="1" applyBorder="1" applyAlignment="1" applyProtection="1">
      <alignment horizontal="center" vertical="center"/>
      <protection hidden="1"/>
    </xf>
    <xf numFmtId="10" fontId="30" fillId="9" borderId="78" xfId="0" applyNumberFormat="1" applyFont="1" applyFill="1" applyBorder="1" applyAlignment="1" applyProtection="1">
      <alignment horizontal="center" vertical="center"/>
    </xf>
    <xf numFmtId="0" fontId="1" fillId="9" borderId="65" xfId="0" applyFont="1" applyFill="1" applyBorder="1" applyAlignment="1" applyProtection="1">
      <alignment horizontal="center" vertical="center"/>
      <protection hidden="1"/>
    </xf>
    <xf numFmtId="10" fontId="30" fillId="9" borderId="68" xfId="0" applyNumberFormat="1" applyFont="1" applyFill="1" applyBorder="1" applyAlignment="1" applyProtection="1">
      <alignment horizontal="center" vertical="center"/>
    </xf>
    <xf numFmtId="0" fontId="1" fillId="10" borderId="68" xfId="0" applyFont="1" applyFill="1" applyBorder="1" applyAlignment="1" applyProtection="1">
      <alignment horizontal="center" vertical="center"/>
      <protection hidden="1"/>
    </xf>
    <xf numFmtId="10" fontId="30" fillId="10" borderId="68" xfId="0" applyNumberFormat="1" applyFont="1" applyFill="1" applyBorder="1" applyAlignment="1" applyProtection="1">
      <alignment horizontal="center" vertical="center"/>
    </xf>
    <xf numFmtId="166" fontId="30" fillId="0" borderId="4" xfId="0" applyNumberFormat="1" applyFont="1" applyBorder="1" applyAlignment="1" applyProtection="1">
      <alignment horizontal="center" vertical="center"/>
    </xf>
    <xf numFmtId="0" fontId="1" fillId="10" borderId="74" xfId="0" applyFont="1" applyFill="1" applyBorder="1" applyAlignment="1" applyProtection="1">
      <alignment horizontal="center" vertical="center"/>
      <protection hidden="1"/>
    </xf>
    <xf numFmtId="10" fontId="30" fillId="10" borderId="78" xfId="0" applyNumberFormat="1" applyFont="1" applyFill="1" applyBorder="1" applyAlignment="1" applyProtection="1">
      <alignment horizontal="center" vertical="center"/>
    </xf>
    <xf numFmtId="166" fontId="0" fillId="0" borderId="0" xfId="0" applyNumberFormat="1" applyProtection="1"/>
    <xf numFmtId="0" fontId="0" fillId="10" borderId="0" xfId="0" applyFill="1" applyBorder="1" applyAlignment="1" applyProtection="1">
      <alignment horizontal="center"/>
    </xf>
    <xf numFmtId="0" fontId="0" fillId="10" borderId="73" xfId="0" applyFill="1" applyBorder="1" applyAlignment="1" applyProtection="1">
      <alignment horizontal="center"/>
    </xf>
    <xf numFmtId="0" fontId="0" fillId="0" borderId="0" xfId="0" applyAlignment="1">
      <alignment vertical="center" wrapText="1"/>
    </xf>
    <xf numFmtId="166" fontId="3" fillId="11" borderId="91" xfId="0" applyNumberFormat="1" applyFont="1" applyFill="1" applyBorder="1" applyAlignment="1">
      <alignment horizontal="right" vertical="center"/>
    </xf>
    <xf numFmtId="166" fontId="3" fillId="9" borderId="2" xfId="0" applyNumberFormat="1" applyFont="1" applyFill="1" applyBorder="1" applyAlignment="1">
      <alignment horizontal="right" vertical="center"/>
    </xf>
    <xf numFmtId="166" fontId="3" fillId="9" borderId="91" xfId="0" applyNumberFormat="1" applyFont="1" applyFill="1" applyBorder="1" applyAlignment="1">
      <alignment horizontal="right" vertical="center"/>
    </xf>
    <xf numFmtId="166" fontId="3" fillId="12" borderId="2" xfId="0" applyNumberFormat="1" applyFont="1" applyFill="1" applyBorder="1" applyAlignment="1">
      <alignment horizontal="right" vertical="center"/>
    </xf>
    <xf numFmtId="166" fontId="3" fillId="12" borderId="91" xfId="0" applyNumberFormat="1" applyFont="1" applyFill="1" applyBorder="1" applyAlignment="1">
      <alignment horizontal="right" vertical="center"/>
    </xf>
    <xf numFmtId="0" fontId="3" fillId="0" borderId="2" xfId="0" applyFont="1" applyBorder="1" applyAlignment="1">
      <alignment horizontal="center" vertical="center"/>
    </xf>
    <xf numFmtId="0" fontId="3" fillId="0" borderId="5" xfId="0" applyFont="1" applyBorder="1" applyAlignment="1">
      <alignment horizontal="center" vertical="center" wrapText="1"/>
    </xf>
    <xf numFmtId="0" fontId="3" fillId="0" borderId="94" xfId="0" applyFont="1" applyBorder="1" applyAlignment="1">
      <alignment horizontal="center" vertical="center" wrapText="1"/>
    </xf>
    <xf numFmtId="0" fontId="1" fillId="3" borderId="2" xfId="0" applyFont="1" applyFill="1" applyBorder="1" applyAlignment="1" applyProtection="1">
      <alignment horizontal="center" vertical="center"/>
      <protection locked="0"/>
    </xf>
    <xf numFmtId="0" fontId="3" fillId="0" borderId="81" xfId="0" applyFont="1" applyBorder="1" applyAlignment="1">
      <alignment horizontal="center" vertical="center"/>
    </xf>
    <xf numFmtId="0" fontId="3" fillId="0" borderId="2" xfId="0" applyFont="1" applyBorder="1" applyAlignment="1">
      <alignment horizontal="left" vertical="center" wrapText="1"/>
    </xf>
    <xf numFmtId="0" fontId="1" fillId="9" borderId="92" xfId="0" applyFont="1" applyFill="1" applyBorder="1" applyAlignment="1">
      <alignment horizontal="center" vertical="center"/>
    </xf>
    <xf numFmtId="0" fontId="51" fillId="9" borderId="5" xfId="0" applyFont="1" applyFill="1" applyBorder="1" applyAlignment="1">
      <alignment horizontal="center" vertical="center"/>
    </xf>
    <xf numFmtId="0" fontId="1" fillId="9" borderId="5" xfId="0" applyFont="1" applyFill="1" applyBorder="1" applyAlignment="1">
      <alignment vertical="center" wrapText="1"/>
    </xf>
    <xf numFmtId="0" fontId="3" fillId="0" borderId="83" xfId="0" applyFont="1" applyBorder="1" applyAlignment="1">
      <alignment horizontal="center" vertical="center"/>
    </xf>
    <xf numFmtId="166" fontId="3" fillId="0" borderId="68" xfId="0" applyNumberFormat="1" applyFont="1" applyBorder="1" applyAlignment="1">
      <alignment horizontal="right" vertical="center"/>
    </xf>
    <xf numFmtId="166" fontId="3" fillId="0" borderId="84" xfId="0" applyNumberFormat="1" applyFont="1" applyBorder="1" applyAlignment="1">
      <alignment horizontal="right" vertical="center"/>
    </xf>
    <xf numFmtId="0" fontId="10" fillId="13" borderId="87" xfId="0" applyFont="1" applyFill="1" applyBorder="1" applyAlignment="1">
      <alignment horizontal="center" vertical="center"/>
    </xf>
    <xf numFmtId="0" fontId="0" fillId="0" borderId="71" xfId="0" applyBorder="1" applyAlignment="1">
      <alignment vertical="center"/>
    </xf>
    <xf numFmtId="0" fontId="0" fillId="0" borderId="49" xfId="0" applyBorder="1" applyAlignment="1">
      <alignment vertical="center"/>
    </xf>
    <xf numFmtId="0" fontId="3" fillId="3" borderId="2" xfId="0" applyFont="1" applyFill="1" applyBorder="1" applyAlignment="1" applyProtection="1">
      <alignment horizontal="center" vertical="center"/>
      <protection locked="0"/>
    </xf>
    <xf numFmtId="0" fontId="3" fillId="3" borderId="91" xfId="0" applyFont="1" applyFill="1" applyBorder="1" applyAlignment="1" applyProtection="1">
      <alignment horizontal="center" vertical="center"/>
      <protection locked="0"/>
    </xf>
    <xf numFmtId="166" fontId="10" fillId="13" borderId="2" xfId="0" applyNumberFormat="1" applyFont="1" applyFill="1" applyBorder="1" applyAlignment="1">
      <alignment horizontal="center" vertical="center"/>
    </xf>
    <xf numFmtId="0" fontId="3" fillId="3" borderId="10" xfId="0" applyFont="1" applyFill="1" applyBorder="1" applyAlignment="1" applyProtection="1">
      <alignment horizontal="center" vertical="center"/>
      <protection locked="0"/>
    </xf>
    <xf numFmtId="0" fontId="3" fillId="0" borderId="2" xfId="0" applyFont="1" applyBorder="1" applyAlignment="1">
      <alignment horizontal="center" vertical="center" wrapText="1"/>
    </xf>
    <xf numFmtId="0" fontId="3" fillId="0" borderId="49" xfId="0" applyFont="1" applyBorder="1" applyAlignment="1">
      <alignment horizontal="center" vertical="center" wrapText="1"/>
    </xf>
    <xf numFmtId="166" fontId="0" fillId="0" borderId="0" xfId="0" applyNumberFormat="1" applyAlignment="1">
      <alignment vertical="center"/>
    </xf>
    <xf numFmtId="166" fontId="8" fillId="0" borderId="0" xfId="0" applyNumberFormat="1" applyFont="1" applyAlignment="1">
      <alignment vertical="center"/>
    </xf>
    <xf numFmtId="0" fontId="0" fillId="0" borderId="49" xfId="0" applyBorder="1" applyAlignment="1">
      <alignment horizontal="left" vertical="center" wrapText="1"/>
    </xf>
    <xf numFmtId="0" fontId="3" fillId="0" borderId="101" xfId="0" applyFont="1" applyBorder="1" applyAlignment="1">
      <alignment vertical="center"/>
    </xf>
    <xf numFmtId="0" fontId="0" fillId="0" borderId="92" xfId="0" applyBorder="1" applyAlignment="1">
      <alignment vertical="center"/>
    </xf>
    <xf numFmtId="0" fontId="3" fillId="0" borderId="4" xfId="0" applyFont="1" applyBorder="1" applyAlignment="1">
      <alignment vertical="center"/>
    </xf>
    <xf numFmtId="0" fontId="0" fillId="0" borderId="5" xfId="0" applyBorder="1" applyAlignment="1">
      <alignment vertical="center"/>
    </xf>
    <xf numFmtId="0" fontId="3" fillId="0" borderId="48" xfId="0" applyFont="1" applyBorder="1" applyAlignment="1">
      <alignment vertical="center"/>
    </xf>
    <xf numFmtId="0" fontId="0" fillId="0" borderId="51" xfId="0" applyBorder="1" applyAlignment="1">
      <alignment vertical="center"/>
    </xf>
    <xf numFmtId="0" fontId="3" fillId="0" borderId="10" xfId="0" applyFont="1" applyBorder="1" applyAlignment="1">
      <alignment vertical="center"/>
    </xf>
    <xf numFmtId="0" fontId="0" fillId="0" borderId="9" xfId="0" applyBorder="1" applyAlignment="1">
      <alignment vertical="center"/>
    </xf>
    <xf numFmtId="0" fontId="0" fillId="0" borderId="12" xfId="0" applyBorder="1" applyAlignment="1">
      <alignment vertical="center"/>
    </xf>
    <xf numFmtId="166" fontId="1" fillId="11" borderId="55" xfId="0" applyNumberFormat="1" applyFont="1" applyFill="1" applyBorder="1" applyAlignment="1">
      <alignment horizontal="right" vertical="center"/>
    </xf>
    <xf numFmtId="166" fontId="1" fillId="9" borderId="55" xfId="0" applyNumberFormat="1" applyFont="1" applyFill="1" applyBorder="1" applyAlignment="1">
      <alignment horizontal="right" vertical="center"/>
    </xf>
    <xf numFmtId="166" fontId="1" fillId="12" borderId="55" xfId="0" applyNumberFormat="1" applyFont="1" applyFill="1" applyBorder="1" applyAlignment="1">
      <alignment horizontal="right" vertical="center"/>
    </xf>
    <xf numFmtId="166" fontId="8" fillId="0" borderId="0" xfId="0" applyNumberFormat="1" applyFont="1" applyProtection="1"/>
    <xf numFmtId="166" fontId="1" fillId="11" borderId="91" xfId="0" applyNumberFormat="1" applyFont="1" applyFill="1" applyBorder="1" applyAlignment="1">
      <alignment horizontal="right" vertical="center"/>
    </xf>
    <xf numFmtId="166" fontId="8" fillId="0" borderId="0" xfId="0" applyNumberFormat="1" applyFont="1"/>
    <xf numFmtId="166" fontId="1" fillId="3" borderId="2" xfId="0" applyNumberFormat="1" applyFont="1" applyFill="1" applyBorder="1" applyAlignment="1" applyProtection="1">
      <alignment horizontal="right" vertical="center"/>
      <protection locked="0"/>
    </xf>
    <xf numFmtId="0" fontId="3" fillId="3" borderId="10" xfId="0" quotePrefix="1" applyFont="1" applyFill="1" applyBorder="1" applyAlignment="1" applyProtection="1">
      <alignment horizontal="left" vertical="center" wrapText="1"/>
      <protection locked="0"/>
    </xf>
    <xf numFmtId="0" fontId="36" fillId="0" borderId="50" xfId="0" applyFont="1" applyBorder="1" applyAlignment="1" applyProtection="1">
      <alignment horizontal="right" vertical="center"/>
    </xf>
    <xf numFmtId="0" fontId="3" fillId="0" borderId="49" xfId="0" applyFont="1" applyBorder="1" applyAlignment="1">
      <alignment horizontal="right" vertical="center"/>
    </xf>
    <xf numFmtId="0" fontId="26" fillId="3" borderId="50" xfId="0" applyFont="1" applyFill="1" applyBorder="1" applyAlignment="1" applyProtection="1">
      <alignment horizontal="left" vertical="center" wrapText="1"/>
      <protection locked="0" hidden="1"/>
    </xf>
    <xf numFmtId="0" fontId="33" fillId="3" borderId="49" xfId="0" applyFont="1" applyFill="1" applyBorder="1" applyAlignment="1" applyProtection="1">
      <alignment horizontal="left" vertical="center" wrapText="1"/>
      <protection locked="0" hidden="1"/>
    </xf>
    <xf numFmtId="0" fontId="29" fillId="0" borderId="49" xfId="0" applyFont="1" applyBorder="1" applyAlignment="1" applyProtection="1">
      <alignment vertical="center" wrapText="1"/>
      <protection locked="0"/>
    </xf>
    <xf numFmtId="0" fontId="29" fillId="0" borderId="88" xfId="0" applyFont="1" applyBorder="1" applyAlignment="1" applyProtection="1">
      <alignment vertical="center" wrapText="1"/>
      <protection locked="0"/>
    </xf>
    <xf numFmtId="0" fontId="36" fillId="0" borderId="10" xfId="0" applyFont="1" applyBorder="1" applyAlignment="1" applyProtection="1">
      <alignment horizontal="right" vertical="center"/>
    </xf>
    <xf numFmtId="0" fontId="3" fillId="0" borderId="9" xfId="0" applyFont="1" applyBorder="1" applyAlignment="1">
      <alignment horizontal="right" vertical="center"/>
    </xf>
    <xf numFmtId="0" fontId="26" fillId="3" borderId="71" xfId="0" applyFont="1" applyFill="1" applyBorder="1" applyAlignment="1" applyProtection="1">
      <alignment horizontal="left" vertical="center" wrapText="1"/>
      <protection locked="0" hidden="1"/>
    </xf>
    <xf numFmtId="0" fontId="33" fillId="3" borderId="71" xfId="0" applyFont="1" applyFill="1" applyBorder="1" applyAlignment="1" applyProtection="1">
      <alignment horizontal="left" vertical="center" wrapText="1"/>
      <protection locked="0" hidden="1"/>
    </xf>
    <xf numFmtId="0" fontId="29" fillId="0" borderId="71" xfId="0" applyFont="1" applyBorder="1" applyAlignment="1" applyProtection="1">
      <alignment vertical="center" wrapText="1"/>
      <protection locked="0"/>
    </xf>
    <xf numFmtId="0" fontId="29" fillId="0" borderId="85" xfId="0" applyFont="1" applyBorder="1" applyAlignment="1" applyProtection="1">
      <alignment vertical="center" wrapText="1"/>
      <protection locked="0"/>
    </xf>
    <xf numFmtId="0" fontId="0" fillId="0" borderId="49" xfId="0" applyBorder="1" applyAlignment="1" applyProtection="1">
      <alignment vertical="center" wrapText="1"/>
      <protection locked="0"/>
    </xf>
    <xf numFmtId="0" fontId="0" fillId="0" borderId="88" xfId="0" applyBorder="1" applyAlignment="1" applyProtection="1">
      <alignment vertical="center" wrapText="1"/>
      <protection locked="0"/>
    </xf>
    <xf numFmtId="0" fontId="36" fillId="0" borderId="63" xfId="0" applyFont="1" applyBorder="1" applyAlignment="1" applyProtection="1">
      <alignment horizontal="right" vertical="center"/>
    </xf>
    <xf numFmtId="0" fontId="3" fillId="0" borderId="99" xfId="0" applyFont="1" applyBorder="1" applyAlignment="1">
      <alignment horizontal="right" vertical="center"/>
    </xf>
    <xf numFmtId="0" fontId="27" fillId="0" borderId="3" xfId="0" applyFont="1" applyBorder="1" applyAlignment="1" applyProtection="1">
      <alignment vertical="center" wrapText="1"/>
    </xf>
    <xf numFmtId="0" fontId="27" fillId="0" borderId="0" xfId="0" applyFont="1" applyBorder="1" applyAlignment="1">
      <alignment vertical="center"/>
    </xf>
    <xf numFmtId="0" fontId="27" fillId="0" borderId="52" xfId="0" applyFont="1" applyBorder="1" applyAlignment="1">
      <alignment vertical="center"/>
    </xf>
    <xf numFmtId="0" fontId="27" fillId="0" borderId="3" xfId="0" applyFont="1" applyBorder="1" applyAlignment="1">
      <alignment vertical="center"/>
    </xf>
    <xf numFmtId="0" fontId="27" fillId="0" borderId="61" xfId="0" applyFont="1" applyBorder="1" applyAlignment="1">
      <alignment vertical="center"/>
    </xf>
    <xf numFmtId="0" fontId="27" fillId="0" borderId="99" xfId="0" applyFont="1" applyBorder="1" applyAlignment="1">
      <alignment vertical="center"/>
    </xf>
    <xf numFmtId="0" fontId="27" fillId="0" borderId="62" xfId="0" applyFont="1" applyBorder="1" applyAlignment="1">
      <alignment vertical="center"/>
    </xf>
    <xf numFmtId="0" fontId="26" fillId="3" borderId="56" xfId="0" applyFont="1" applyFill="1" applyBorder="1" applyAlignment="1" applyProtection="1">
      <alignment horizontal="left" vertical="center"/>
      <protection hidden="1"/>
    </xf>
    <xf numFmtId="0" fontId="0" fillId="0" borderId="57" xfId="0" applyBorder="1" applyAlignment="1">
      <alignment horizontal="left" vertical="center"/>
    </xf>
    <xf numFmtId="0" fontId="0" fillId="0" borderId="58" xfId="0" applyBorder="1" applyAlignment="1">
      <alignment horizontal="left" vertical="center"/>
    </xf>
    <xf numFmtId="0" fontId="26" fillId="8" borderId="96" xfId="0" applyFont="1" applyFill="1" applyBorder="1" applyAlignment="1" applyProtection="1">
      <alignment horizontal="left" vertical="center"/>
      <protection hidden="1"/>
    </xf>
    <xf numFmtId="0" fontId="0" fillId="0" borderId="9" xfId="0" applyBorder="1" applyAlignment="1">
      <alignment horizontal="left" vertical="center"/>
    </xf>
    <xf numFmtId="0" fontId="0" fillId="0" borderId="11" xfId="0" applyBorder="1" applyAlignment="1">
      <alignment horizontal="left" vertical="center"/>
    </xf>
    <xf numFmtId="0" fontId="36" fillId="0" borderId="86" xfId="0" applyFont="1" applyBorder="1" applyAlignment="1">
      <alignment horizontal="right" vertical="center"/>
    </xf>
    <xf numFmtId="0" fontId="36" fillId="0" borderId="71" xfId="0" applyFont="1" applyBorder="1" applyAlignment="1">
      <alignment horizontal="right" vertical="center"/>
    </xf>
    <xf numFmtId="0" fontId="36" fillId="0" borderId="72" xfId="0" applyFont="1" applyBorder="1" applyAlignment="1">
      <alignment horizontal="right" vertical="center"/>
    </xf>
    <xf numFmtId="0" fontId="36" fillId="0" borderId="50" xfId="0" applyFont="1" applyBorder="1" applyAlignment="1">
      <alignment horizontal="right" vertical="center"/>
    </xf>
    <xf numFmtId="0" fontId="36" fillId="0" borderId="49" xfId="0" applyFont="1" applyBorder="1" applyAlignment="1">
      <alignment horizontal="right" vertical="center"/>
    </xf>
    <xf numFmtId="0" fontId="36" fillId="0" borderId="51" xfId="0" applyFont="1" applyBorder="1" applyAlignment="1">
      <alignment horizontal="right" vertical="center"/>
    </xf>
    <xf numFmtId="4" fontId="26" fillId="8" borderId="82" xfId="0" applyNumberFormat="1" applyFont="1" applyFill="1" applyBorder="1" applyAlignment="1" applyProtection="1">
      <alignment horizontal="center" vertical="center"/>
      <protection locked="0" hidden="1"/>
    </xf>
    <xf numFmtId="0" fontId="0" fillId="8" borderId="93" xfId="0" applyFill="1" applyBorder="1" applyAlignment="1" applyProtection="1">
      <alignment horizontal="center" vertical="center"/>
      <protection locked="0"/>
    </xf>
    <xf numFmtId="4" fontId="10" fillId="0" borderId="81" xfId="0" applyNumberFormat="1" applyFont="1" applyFill="1" applyBorder="1" applyAlignment="1" applyProtection="1">
      <alignment horizontal="center" vertical="center" wrapText="1"/>
      <protection hidden="1"/>
    </xf>
    <xf numFmtId="0" fontId="11" fillId="0" borderId="78" xfId="0" applyFont="1" applyBorder="1" applyAlignment="1" applyProtection="1">
      <alignment horizontal="center" vertical="center" wrapText="1"/>
    </xf>
    <xf numFmtId="0" fontId="11" fillId="0" borderId="101" xfId="0" applyFont="1" applyBorder="1" applyAlignment="1" applyProtection="1">
      <alignment horizontal="center" vertical="center" wrapText="1"/>
    </xf>
    <xf numFmtId="0" fontId="11" fillId="0" borderId="4" xfId="0" applyFont="1" applyBorder="1" applyAlignment="1" applyProtection="1">
      <alignment horizontal="center" vertical="center" wrapText="1"/>
    </xf>
    <xf numFmtId="0" fontId="26" fillId="0" borderId="70" xfId="0" applyFont="1" applyFill="1" applyBorder="1" applyAlignment="1" applyProtection="1">
      <alignment horizontal="left" vertical="center"/>
      <protection hidden="1"/>
    </xf>
    <xf numFmtId="0" fontId="29" fillId="0" borderId="71" xfId="0" applyFont="1" applyFill="1" applyBorder="1" applyAlignment="1" applyProtection="1">
      <alignment horizontal="left" vertical="center"/>
    </xf>
    <xf numFmtId="0" fontId="29" fillId="0" borderId="85" xfId="0" applyFont="1" applyFill="1" applyBorder="1" applyAlignment="1" applyProtection="1">
      <alignment horizontal="left" vertical="center"/>
    </xf>
    <xf numFmtId="166" fontId="28" fillId="9" borderId="2" xfId="0" applyNumberFormat="1" applyFont="1" applyFill="1" applyBorder="1" applyAlignment="1" applyProtection="1">
      <alignment horizontal="center" vertical="center"/>
    </xf>
    <xf numFmtId="0" fontId="0" fillId="9" borderId="2" xfId="0" applyFill="1" applyBorder="1" applyAlignment="1" applyProtection="1">
      <alignment horizontal="center"/>
    </xf>
    <xf numFmtId="0" fontId="0" fillId="9" borderId="91" xfId="0" applyFill="1" applyBorder="1" applyAlignment="1" applyProtection="1">
      <alignment horizontal="center"/>
    </xf>
    <xf numFmtId="0" fontId="28" fillId="9" borderId="2" xfId="0" applyFont="1" applyFill="1" applyBorder="1" applyAlignment="1" applyProtection="1">
      <alignment horizontal="center" vertical="center"/>
    </xf>
    <xf numFmtId="0" fontId="28" fillId="9" borderId="68" xfId="0" applyFont="1" applyFill="1" applyBorder="1" applyAlignment="1" applyProtection="1">
      <alignment horizontal="center" vertical="center"/>
    </xf>
    <xf numFmtId="166" fontId="28" fillId="9" borderId="91" xfId="0" applyNumberFormat="1" applyFont="1" applyFill="1" applyBorder="1" applyAlignment="1" applyProtection="1">
      <alignment horizontal="center" vertical="center"/>
    </xf>
    <xf numFmtId="166" fontId="28" fillId="9" borderId="68" xfId="0" applyNumberFormat="1" applyFont="1" applyFill="1" applyBorder="1" applyAlignment="1" applyProtection="1">
      <alignment horizontal="center" vertical="center"/>
    </xf>
    <xf numFmtId="166" fontId="28" fillId="9" borderId="84" xfId="0" applyNumberFormat="1" applyFont="1" applyFill="1" applyBorder="1" applyAlignment="1" applyProtection="1">
      <alignment horizontal="center" vertical="center"/>
    </xf>
    <xf numFmtId="0" fontId="28" fillId="9" borderId="78" xfId="0" applyFont="1" applyFill="1" applyBorder="1" applyAlignment="1" applyProtection="1">
      <alignment horizontal="center" vertical="center"/>
    </xf>
    <xf numFmtId="166" fontId="28" fillId="9" borderId="78" xfId="0" applyNumberFormat="1" applyFont="1" applyFill="1" applyBorder="1" applyAlignment="1" applyProtection="1">
      <alignment horizontal="center" vertical="center"/>
    </xf>
    <xf numFmtId="166" fontId="28" fillId="9" borderId="82" xfId="0" applyNumberFormat="1" applyFont="1" applyFill="1" applyBorder="1" applyAlignment="1" applyProtection="1">
      <alignment horizontal="center" vertical="center"/>
    </xf>
    <xf numFmtId="0" fontId="28" fillId="9" borderId="11" xfId="0" applyFont="1" applyFill="1" applyBorder="1" applyAlignment="1" applyProtection="1">
      <alignment horizontal="right" vertical="center"/>
    </xf>
    <xf numFmtId="0" fontId="0" fillId="9" borderId="2" xfId="0" applyFill="1" applyBorder="1" applyAlignment="1" applyProtection="1">
      <alignment horizontal="right"/>
    </xf>
    <xf numFmtId="0" fontId="0" fillId="9" borderId="11" xfId="0" applyFill="1" applyBorder="1" applyAlignment="1" applyProtection="1">
      <alignment horizontal="right"/>
    </xf>
    <xf numFmtId="0" fontId="0" fillId="9" borderId="65" xfId="0" applyFill="1" applyBorder="1" applyAlignment="1" applyProtection="1">
      <alignment horizontal="right"/>
    </xf>
    <xf numFmtId="0" fontId="0" fillId="9" borderId="68" xfId="0" applyFill="1" applyBorder="1" applyAlignment="1" applyProtection="1">
      <alignment horizontal="right"/>
    </xf>
    <xf numFmtId="0" fontId="0" fillId="9" borderId="68" xfId="0" applyFill="1" applyBorder="1" applyAlignment="1" applyProtection="1">
      <alignment horizontal="center"/>
    </xf>
    <xf numFmtId="0" fontId="0" fillId="9" borderId="84" xfId="0" applyFill="1" applyBorder="1" applyAlignment="1" applyProtection="1">
      <alignment horizontal="center"/>
    </xf>
    <xf numFmtId="0" fontId="30" fillId="9" borderId="78" xfId="0" applyFont="1" applyFill="1" applyBorder="1" applyAlignment="1" applyProtection="1">
      <alignment horizontal="left" vertical="center" wrapText="1"/>
      <protection hidden="1"/>
    </xf>
    <xf numFmtId="0" fontId="30" fillId="9" borderId="78" xfId="0" applyFont="1" applyFill="1" applyBorder="1" applyAlignment="1" applyProtection="1">
      <alignment horizontal="left" vertical="center" wrapText="1"/>
    </xf>
    <xf numFmtId="0" fontId="30" fillId="9" borderId="4" xfId="0" applyFont="1" applyFill="1" applyBorder="1" applyAlignment="1" applyProtection="1">
      <alignment horizontal="left" vertical="center" wrapText="1"/>
      <protection hidden="1"/>
    </xf>
    <xf numFmtId="0" fontId="30" fillId="9" borderId="4" xfId="0" applyFont="1" applyFill="1" applyBorder="1" applyAlignment="1" applyProtection="1">
      <alignment horizontal="left" vertical="center" wrapText="1"/>
    </xf>
    <xf numFmtId="0" fontId="10" fillId="9" borderId="81" xfId="0" applyFont="1" applyFill="1" applyBorder="1" applyAlignment="1" applyProtection="1">
      <alignment horizontal="center" vertical="center"/>
      <protection hidden="1"/>
    </xf>
    <xf numFmtId="0" fontId="10" fillId="9" borderId="101" xfId="0" applyFont="1" applyFill="1" applyBorder="1" applyAlignment="1" applyProtection="1">
      <alignment horizontal="center" vertical="center"/>
      <protection hidden="1"/>
    </xf>
    <xf numFmtId="0" fontId="28" fillId="9" borderId="4" xfId="0" applyFont="1" applyFill="1" applyBorder="1" applyAlignment="1" applyProtection="1">
      <alignment horizontal="center" vertical="center"/>
    </xf>
    <xf numFmtId="0" fontId="1" fillId="9" borderId="11" xfId="0" applyFont="1" applyFill="1" applyBorder="1" applyAlignment="1" applyProtection="1">
      <alignment horizontal="center" vertical="center"/>
      <protection hidden="1"/>
    </xf>
    <xf numFmtId="0" fontId="0" fillId="9" borderId="11" xfId="0" applyFill="1" applyBorder="1" applyAlignment="1" applyProtection="1"/>
    <xf numFmtId="10" fontId="30" fillId="9" borderId="2" xfId="0" applyNumberFormat="1" applyFont="1" applyFill="1" applyBorder="1" applyAlignment="1" applyProtection="1">
      <alignment horizontal="center" vertical="center"/>
    </xf>
    <xf numFmtId="0" fontId="0" fillId="9" borderId="2" xfId="0" applyFill="1" applyBorder="1" applyAlignment="1" applyProtection="1">
      <alignment horizontal="center" vertical="center"/>
    </xf>
    <xf numFmtId="166" fontId="33" fillId="3" borderId="68" xfId="0" applyNumberFormat="1" applyFont="1" applyFill="1" applyBorder="1" applyAlignment="1" applyProtection="1">
      <alignment horizontal="center" vertical="center"/>
      <protection locked="0"/>
    </xf>
    <xf numFmtId="166" fontId="0" fillId="0" borderId="84" xfId="0" applyNumberFormat="1" applyBorder="1" applyAlignment="1" applyProtection="1">
      <protection locked="0"/>
    </xf>
    <xf numFmtId="0" fontId="28" fillId="10" borderId="78" xfId="0" applyFont="1" applyFill="1" applyBorder="1" applyAlignment="1" applyProtection="1">
      <alignment horizontal="center" vertical="center"/>
    </xf>
    <xf numFmtId="0" fontId="0" fillId="10" borderId="2" xfId="0" applyFill="1" applyBorder="1" applyAlignment="1" applyProtection="1">
      <alignment horizontal="center" vertical="center"/>
    </xf>
    <xf numFmtId="166" fontId="28" fillId="10" borderId="78" xfId="0" applyNumberFormat="1" applyFont="1" applyFill="1" applyBorder="1" applyAlignment="1" applyProtection="1">
      <alignment horizontal="center" vertical="center"/>
    </xf>
    <xf numFmtId="0" fontId="0" fillId="10" borderId="82" xfId="0" applyFill="1" applyBorder="1" applyAlignment="1" applyProtection="1"/>
    <xf numFmtId="0" fontId="0" fillId="10" borderId="2" xfId="0" applyFill="1" applyBorder="1" applyAlignment="1" applyProtection="1"/>
    <xf numFmtId="0" fontId="0" fillId="10" borderId="91" xfId="0" applyFill="1" applyBorder="1" applyAlignment="1" applyProtection="1"/>
    <xf numFmtId="166" fontId="28" fillId="10" borderId="2" xfId="0" applyNumberFormat="1" applyFont="1" applyFill="1" applyBorder="1" applyAlignment="1" applyProtection="1">
      <alignment horizontal="center" vertical="center"/>
    </xf>
    <xf numFmtId="0" fontId="0" fillId="10" borderId="68" xfId="0" applyFill="1" applyBorder="1" applyAlignment="1" applyProtection="1"/>
    <xf numFmtId="0" fontId="0" fillId="10" borderId="84" xfId="0" applyFill="1" applyBorder="1" applyAlignment="1" applyProtection="1"/>
    <xf numFmtId="0" fontId="28" fillId="10" borderId="11" xfId="0" applyFont="1" applyFill="1" applyBorder="1" applyAlignment="1" applyProtection="1">
      <alignment horizontal="right" vertical="center"/>
    </xf>
    <xf numFmtId="0" fontId="0" fillId="10" borderId="2" xfId="0" applyFill="1" applyBorder="1" applyAlignment="1" applyProtection="1">
      <alignment horizontal="right"/>
    </xf>
    <xf numFmtId="0" fontId="0" fillId="10" borderId="11" xfId="0" applyFill="1" applyBorder="1" applyAlignment="1" applyProtection="1">
      <alignment horizontal="right"/>
    </xf>
    <xf numFmtId="0" fontId="0" fillId="10" borderId="2" xfId="0" applyFill="1" applyBorder="1" applyAlignment="1" applyProtection="1">
      <alignment horizontal="center"/>
    </xf>
    <xf numFmtId="0" fontId="0" fillId="10" borderId="91" xfId="0" applyFill="1" applyBorder="1" applyAlignment="1" applyProtection="1">
      <alignment horizontal="center"/>
    </xf>
    <xf numFmtId="0" fontId="0" fillId="10" borderId="65" xfId="0" applyFill="1" applyBorder="1" applyAlignment="1" applyProtection="1">
      <alignment horizontal="right"/>
    </xf>
    <xf numFmtId="0" fontId="0" fillId="10" borderId="68" xfId="0" applyFill="1" applyBorder="1" applyAlignment="1" applyProtection="1">
      <alignment horizontal="right"/>
    </xf>
    <xf numFmtId="166" fontId="30" fillId="0" borderId="47" xfId="0" applyNumberFormat="1" applyFont="1" applyBorder="1" applyAlignment="1" applyProtection="1">
      <alignment horizontal="center" vertical="center"/>
    </xf>
    <xf numFmtId="166" fontId="30" fillId="0" borderId="48" xfId="0" applyNumberFormat="1" applyFont="1" applyBorder="1" applyAlignment="1" applyProtection="1">
      <alignment horizontal="center" vertical="center"/>
    </xf>
    <xf numFmtId="0" fontId="36" fillId="0" borderId="104" xfId="0" applyFont="1" applyFill="1" applyBorder="1" applyAlignment="1" applyProtection="1">
      <alignment horizontal="center" vertical="center" wrapText="1" shrinkToFit="1"/>
      <protection hidden="1"/>
    </xf>
    <xf numFmtId="0" fontId="35" fillId="0" borderId="102" xfId="0" applyFont="1" applyFill="1" applyBorder="1" applyAlignment="1" applyProtection="1"/>
    <xf numFmtId="0" fontId="35" fillId="0" borderId="105" xfId="0" applyFont="1" applyFill="1" applyBorder="1" applyAlignment="1" applyProtection="1"/>
    <xf numFmtId="166" fontId="47" fillId="0" borderId="103" xfId="0" applyNumberFormat="1" applyFont="1" applyFill="1" applyBorder="1" applyAlignment="1" applyProtection="1">
      <alignment horizontal="center" vertical="center"/>
    </xf>
    <xf numFmtId="0" fontId="49" fillId="0" borderId="106" xfId="0" applyFont="1" applyFill="1" applyBorder="1" applyAlignment="1" applyProtection="1"/>
    <xf numFmtId="0" fontId="50" fillId="0" borderId="99" xfId="0" applyFont="1" applyBorder="1" applyAlignment="1" applyProtection="1">
      <alignment horizontal="center" vertical="center"/>
    </xf>
    <xf numFmtId="0" fontId="50" fillId="0" borderId="100" xfId="0" applyFont="1" applyBorder="1" applyAlignment="1" applyProtection="1">
      <alignment horizontal="center" vertical="center"/>
    </xf>
    <xf numFmtId="0" fontId="10" fillId="11" borderId="81" xfId="0" applyFont="1" applyFill="1" applyBorder="1" applyAlignment="1" applyProtection="1">
      <alignment horizontal="center" vertical="center" wrapText="1" shrinkToFit="1"/>
      <protection hidden="1"/>
    </xf>
    <xf numFmtId="0" fontId="0" fillId="11" borderId="78" xfId="0" applyFill="1" applyBorder="1" applyAlignment="1" applyProtection="1">
      <alignment horizontal="center"/>
    </xf>
    <xf numFmtId="0" fontId="0" fillId="11" borderId="59" xfId="0" applyFill="1" applyBorder="1" applyAlignment="1" applyProtection="1">
      <alignment horizontal="center"/>
    </xf>
    <xf numFmtId="0" fontId="10" fillId="11" borderId="83" xfId="0" applyFont="1" applyFill="1" applyBorder="1" applyAlignment="1" applyProtection="1">
      <alignment horizontal="center" vertical="center" wrapText="1" shrinkToFit="1"/>
      <protection hidden="1"/>
    </xf>
    <xf numFmtId="0" fontId="0" fillId="11" borderId="68" xfId="0" applyFill="1" applyBorder="1" applyAlignment="1" applyProtection="1"/>
    <xf numFmtId="0" fontId="0" fillId="11" borderId="66" xfId="0" applyFill="1" applyBorder="1" applyAlignment="1" applyProtection="1"/>
    <xf numFmtId="0" fontId="10" fillId="9" borderId="81" xfId="0" applyFont="1" applyFill="1" applyBorder="1" applyAlignment="1" applyProtection="1">
      <alignment horizontal="center" vertical="center" wrapText="1" shrinkToFit="1"/>
      <protection hidden="1"/>
    </xf>
    <xf numFmtId="0" fontId="0" fillId="9" borderId="78" xfId="0" applyFill="1" applyBorder="1" applyAlignment="1" applyProtection="1"/>
    <xf numFmtId="0" fontId="0" fillId="9" borderId="59" xfId="0" applyFill="1" applyBorder="1" applyAlignment="1" applyProtection="1"/>
    <xf numFmtId="0" fontId="10" fillId="9" borderId="83" xfId="0" applyFont="1" applyFill="1" applyBorder="1" applyAlignment="1" applyProtection="1">
      <alignment horizontal="center" vertical="center" wrapText="1" shrinkToFit="1"/>
      <protection hidden="1"/>
    </xf>
    <xf numFmtId="0" fontId="0" fillId="9" borderId="68" xfId="0" applyFill="1" applyBorder="1" applyAlignment="1" applyProtection="1"/>
    <xf numFmtId="0" fontId="0" fillId="9" borderId="66" xfId="0" applyFill="1" applyBorder="1" applyAlignment="1" applyProtection="1"/>
    <xf numFmtId="0" fontId="10" fillId="10" borderId="83" xfId="0" applyFont="1" applyFill="1" applyBorder="1" applyAlignment="1" applyProtection="1">
      <alignment horizontal="center" vertical="center" wrapText="1" shrinkToFit="1"/>
      <protection hidden="1"/>
    </xf>
    <xf numFmtId="0" fontId="10" fillId="10" borderId="78" xfId="0" applyFont="1" applyFill="1" applyBorder="1" applyAlignment="1" applyProtection="1">
      <alignment horizontal="center" vertical="center" wrapText="1" shrinkToFit="1"/>
      <protection hidden="1"/>
    </xf>
    <xf numFmtId="0" fontId="0" fillId="10" borderId="78" xfId="0" applyFill="1" applyBorder="1" applyAlignment="1" applyProtection="1"/>
    <xf numFmtId="0" fontId="10" fillId="10" borderId="68" xfId="0" applyFont="1" applyFill="1" applyBorder="1" applyAlignment="1" applyProtection="1">
      <alignment horizontal="center" vertical="center" wrapText="1" shrinkToFit="1"/>
      <protection hidden="1"/>
    </xf>
    <xf numFmtId="0" fontId="10" fillId="11" borderId="78" xfId="0" applyFont="1" applyFill="1" applyBorder="1" applyAlignment="1" applyProtection="1">
      <alignment horizontal="center" vertical="center" wrapText="1" shrinkToFit="1"/>
      <protection hidden="1"/>
    </xf>
    <xf numFmtId="0" fontId="0" fillId="11" borderId="78" xfId="0" applyFill="1" applyBorder="1" applyAlignment="1" applyProtection="1"/>
    <xf numFmtId="166" fontId="33" fillId="11" borderId="58" xfId="0" applyNumberFormat="1" applyFont="1" applyFill="1" applyBorder="1" applyAlignment="1" applyProtection="1">
      <alignment horizontal="center" vertical="center"/>
    </xf>
    <xf numFmtId="0" fontId="0" fillId="11" borderId="82" xfId="0" applyFill="1" applyBorder="1" applyAlignment="1" applyProtection="1"/>
    <xf numFmtId="0" fontId="0" fillId="11" borderId="65" xfId="0" applyFill="1" applyBorder="1" applyAlignment="1" applyProtection="1"/>
    <xf numFmtId="0" fontId="0" fillId="11" borderId="84" xfId="0" applyFill="1" applyBorder="1" applyAlignment="1" applyProtection="1"/>
    <xf numFmtId="166" fontId="33" fillId="3" borderId="78" xfId="0" applyNumberFormat="1" applyFont="1" applyFill="1" applyBorder="1" applyAlignment="1" applyProtection="1">
      <alignment horizontal="center" vertical="center"/>
      <protection locked="0"/>
    </xf>
    <xf numFmtId="166" fontId="0" fillId="0" borderId="82" xfId="0" applyNumberFormat="1" applyBorder="1" applyAlignment="1" applyProtection="1">
      <protection locked="0"/>
    </xf>
    <xf numFmtId="2" fontId="14" fillId="0" borderId="98" xfId="2" applyNumberFormat="1" applyFont="1" applyFill="1" applyBorder="1" applyAlignment="1" applyProtection="1">
      <alignment horizontal="center" vertical="center"/>
      <protection hidden="1"/>
    </xf>
    <xf numFmtId="0" fontId="0" fillId="0" borderId="88" xfId="0" applyBorder="1" applyAlignment="1" applyProtection="1">
      <alignment horizontal="center" vertical="center"/>
    </xf>
    <xf numFmtId="2" fontId="45" fillId="0" borderId="4" xfId="2" applyNumberFormat="1" applyFont="1" applyFill="1" applyBorder="1" applyAlignment="1" applyProtection="1">
      <alignment horizontal="center" vertical="center"/>
      <protection hidden="1"/>
    </xf>
    <xf numFmtId="0" fontId="30" fillId="0" borderId="5" xfId="0" applyFont="1" applyBorder="1" applyAlignment="1" applyProtection="1">
      <alignment horizontal="center" vertical="center"/>
    </xf>
    <xf numFmtId="2" fontId="45" fillId="0" borderId="93" xfId="2" applyNumberFormat="1" applyFont="1" applyFill="1" applyBorder="1" applyAlignment="1" applyProtection="1">
      <alignment horizontal="center" vertical="center"/>
      <protection hidden="1"/>
    </xf>
    <xf numFmtId="0" fontId="30" fillId="0" borderId="94" xfId="0" applyFont="1" applyBorder="1" applyAlignment="1" applyProtection="1">
      <alignment horizontal="center" vertical="center"/>
    </xf>
    <xf numFmtId="0" fontId="26" fillId="0" borderId="70" xfId="0" applyFont="1" applyFill="1" applyBorder="1" applyAlignment="1" applyProtection="1">
      <alignment horizontal="center" vertical="center"/>
      <protection hidden="1"/>
    </xf>
    <xf numFmtId="0" fontId="29" fillId="0" borderId="71" xfId="0" applyFont="1" applyFill="1" applyBorder="1" applyAlignment="1" applyProtection="1">
      <alignment horizontal="center" vertical="center"/>
    </xf>
    <xf numFmtId="0" fontId="29" fillId="0" borderId="85" xfId="0" applyFont="1" applyFill="1" applyBorder="1" applyAlignment="1" applyProtection="1">
      <alignment horizontal="center" vertical="center"/>
    </xf>
    <xf numFmtId="166" fontId="10" fillId="11" borderId="57" xfId="0" applyNumberFormat="1" applyFont="1" applyFill="1" applyBorder="1" applyAlignment="1" applyProtection="1">
      <alignment horizontal="center" vertical="center"/>
      <protection hidden="1"/>
    </xf>
    <xf numFmtId="166" fontId="10" fillId="11" borderId="60" xfId="0" applyNumberFormat="1" applyFont="1" applyFill="1" applyBorder="1" applyAlignment="1" applyProtection="1">
      <alignment horizontal="center" vertical="center"/>
      <protection hidden="1"/>
    </xf>
    <xf numFmtId="0" fontId="10" fillId="11" borderId="56" xfId="0" applyFont="1" applyFill="1" applyBorder="1" applyAlignment="1" applyProtection="1">
      <alignment horizontal="center" vertical="center" wrapText="1" shrinkToFit="1"/>
      <protection hidden="1"/>
    </xf>
    <xf numFmtId="0" fontId="28" fillId="11" borderId="58" xfId="0" applyFont="1" applyFill="1" applyBorder="1" applyAlignment="1" applyProtection="1"/>
    <xf numFmtId="0" fontId="10" fillId="11" borderId="64" xfId="0" applyFont="1" applyFill="1" applyBorder="1" applyAlignment="1" applyProtection="1">
      <alignment horizontal="center" vertical="center" wrapText="1" shrinkToFit="1"/>
      <protection hidden="1"/>
    </xf>
    <xf numFmtId="0" fontId="28" fillId="11" borderId="65" xfId="0" applyFont="1" applyFill="1" applyBorder="1" applyAlignment="1" applyProtection="1"/>
    <xf numFmtId="0" fontId="10" fillId="9" borderId="70" xfId="0" applyFont="1" applyFill="1" applyBorder="1" applyAlignment="1" applyProtection="1">
      <alignment horizontal="center" vertical="center"/>
      <protection hidden="1"/>
    </xf>
    <xf numFmtId="0" fontId="28" fillId="9" borderId="72" xfId="0" applyFont="1" applyFill="1" applyBorder="1" applyAlignment="1" applyProtection="1">
      <alignment horizontal="center" vertical="center"/>
    </xf>
    <xf numFmtId="0" fontId="10" fillId="9" borderId="3" xfId="0" applyFont="1" applyFill="1" applyBorder="1" applyAlignment="1" applyProtection="1">
      <alignment horizontal="center" vertical="center"/>
      <protection hidden="1"/>
    </xf>
    <xf numFmtId="0" fontId="28" fillId="9" borderId="52" xfId="0" applyFont="1" applyFill="1" applyBorder="1" applyAlignment="1" applyProtection="1">
      <alignment horizontal="center" vertical="center"/>
    </xf>
    <xf numFmtId="0" fontId="30" fillId="9" borderId="3" xfId="0" applyFont="1" applyFill="1" applyBorder="1" applyAlignment="1" applyProtection="1">
      <alignment horizontal="center"/>
    </xf>
    <xf numFmtId="0" fontId="30" fillId="9" borderId="52" xfId="0" applyFont="1" applyFill="1" applyBorder="1" applyAlignment="1" applyProtection="1">
      <alignment horizontal="center"/>
    </xf>
    <xf numFmtId="0" fontId="0" fillId="9" borderId="61" xfId="0" applyFill="1" applyBorder="1" applyAlignment="1" applyProtection="1">
      <alignment horizontal="center"/>
    </xf>
    <xf numFmtId="0" fontId="0" fillId="9" borderId="62" xfId="0" applyFill="1" applyBorder="1" applyAlignment="1" applyProtection="1">
      <alignment horizontal="center"/>
    </xf>
    <xf numFmtId="0" fontId="10" fillId="0" borderId="75" xfId="0" applyFont="1" applyFill="1" applyBorder="1" applyAlignment="1" applyProtection="1">
      <alignment horizontal="center" vertical="center"/>
      <protection hidden="1"/>
    </xf>
    <xf numFmtId="0" fontId="28" fillId="0" borderId="53" xfId="0" applyFont="1" applyBorder="1" applyAlignment="1" applyProtection="1">
      <alignment horizontal="center" vertical="center"/>
    </xf>
    <xf numFmtId="0" fontId="27" fillId="0" borderId="47" xfId="0" applyFont="1" applyBorder="1" applyAlignment="1" applyProtection="1">
      <alignment horizontal="left" vertical="center" wrapText="1" shrinkToFit="1"/>
      <protection hidden="1"/>
    </xf>
    <xf numFmtId="0" fontId="30" fillId="0" borderId="1" xfId="0" applyFont="1" applyBorder="1" applyAlignment="1" applyProtection="1">
      <alignment horizontal="left"/>
    </xf>
    <xf numFmtId="0" fontId="30" fillId="0" borderId="1" xfId="0" applyFont="1" applyBorder="1" applyAlignment="1" applyProtection="1"/>
    <xf numFmtId="0" fontId="30" fillId="0" borderId="48" xfId="0" applyFont="1" applyBorder="1" applyAlignment="1" applyProtection="1"/>
    <xf numFmtId="0" fontId="10" fillId="0" borderId="87" xfId="0" applyFont="1" applyFill="1" applyBorder="1" applyAlignment="1" applyProtection="1">
      <alignment horizontal="center" vertical="center"/>
      <protection hidden="1"/>
    </xf>
    <xf numFmtId="0" fontId="28" fillId="0" borderId="2" xfId="0" applyFont="1" applyBorder="1" applyAlignment="1" applyProtection="1">
      <alignment horizontal="center" vertical="center"/>
    </xf>
    <xf numFmtId="0" fontId="10" fillId="0" borderId="10" xfId="0" applyFont="1" applyBorder="1" applyAlignment="1" applyProtection="1">
      <alignment horizontal="left" vertical="center" wrapText="1" shrinkToFit="1"/>
      <protection hidden="1"/>
    </xf>
    <xf numFmtId="0" fontId="30" fillId="0" borderId="9" xfId="0" applyFont="1" applyBorder="1" applyAlignment="1" applyProtection="1"/>
    <xf numFmtId="0" fontId="30" fillId="0" borderId="11" xfId="0" applyFont="1" applyBorder="1" applyAlignment="1" applyProtection="1"/>
    <xf numFmtId="0" fontId="28" fillId="10" borderId="81" xfId="0" applyFont="1" applyFill="1" applyBorder="1" applyAlignment="1" applyProtection="1">
      <alignment horizontal="right" vertical="center"/>
    </xf>
    <xf numFmtId="0" fontId="0" fillId="10" borderId="78" xfId="0" applyFill="1" applyBorder="1" applyAlignment="1" applyProtection="1">
      <alignment horizontal="right"/>
    </xf>
    <xf numFmtId="0" fontId="26" fillId="0" borderId="86" xfId="0" applyFont="1" applyFill="1" applyBorder="1" applyAlignment="1" applyProtection="1">
      <alignment horizontal="center" vertical="center"/>
      <protection hidden="1"/>
    </xf>
    <xf numFmtId="0" fontId="33" fillId="0" borderId="72" xfId="0" applyFont="1" applyBorder="1" applyAlignment="1" applyProtection="1"/>
    <xf numFmtId="0" fontId="33" fillId="0" borderId="50" xfId="0" applyFont="1" applyBorder="1" applyAlignment="1" applyProtection="1"/>
    <xf numFmtId="0" fontId="33" fillId="0" borderId="51" xfId="0" applyFont="1" applyBorder="1" applyAlignment="1" applyProtection="1"/>
    <xf numFmtId="166" fontId="26" fillId="3" borderId="86" xfId="0" applyNumberFormat="1" applyFont="1" applyFill="1" applyBorder="1" applyAlignment="1" applyProtection="1">
      <alignment horizontal="center" vertical="center" wrapText="1" shrinkToFit="1"/>
      <protection locked="0"/>
    </xf>
    <xf numFmtId="0" fontId="33" fillId="0" borderId="71" xfId="0" applyFont="1" applyBorder="1" applyAlignment="1" applyProtection="1">
      <alignment horizontal="center" vertical="center"/>
      <protection locked="0"/>
    </xf>
    <xf numFmtId="0" fontId="33" fillId="0" borderId="71" xfId="0" applyFont="1" applyBorder="1" applyAlignment="1" applyProtection="1">
      <protection locked="0"/>
    </xf>
    <xf numFmtId="0" fontId="33" fillId="0" borderId="63" xfId="0" applyFont="1" applyBorder="1" applyAlignment="1" applyProtection="1">
      <protection locked="0"/>
    </xf>
    <xf numFmtId="0" fontId="33" fillId="0" borderId="99" xfId="0" applyFont="1" applyBorder="1" applyAlignment="1" applyProtection="1">
      <protection locked="0"/>
    </xf>
    <xf numFmtId="0" fontId="10" fillId="0" borderId="90" xfId="0" applyFont="1" applyFill="1" applyBorder="1" applyAlignment="1" applyProtection="1">
      <alignment horizontal="center" vertical="center"/>
      <protection hidden="1"/>
    </xf>
    <xf numFmtId="0" fontId="30" fillId="0" borderId="48" xfId="0" applyFont="1" applyBorder="1" applyAlignment="1" applyProtection="1">
      <alignment horizontal="center" vertical="center"/>
    </xf>
    <xf numFmtId="0" fontId="10" fillId="0" borderId="47" xfId="0" applyFont="1" applyFill="1" applyBorder="1" applyAlignment="1" applyProtection="1">
      <alignment horizontal="center" vertical="center"/>
      <protection hidden="1"/>
    </xf>
    <xf numFmtId="0" fontId="30" fillId="0" borderId="1" xfId="0" applyFont="1" applyBorder="1" applyAlignment="1" applyProtection="1">
      <alignment horizontal="center" vertical="center"/>
    </xf>
    <xf numFmtId="0" fontId="30" fillId="0" borderId="1" xfId="0" applyFont="1" applyBorder="1" applyAlignment="1" applyProtection="1">
      <alignment vertical="center"/>
    </xf>
    <xf numFmtId="0" fontId="30" fillId="0" borderId="48" xfId="0" applyFont="1" applyBorder="1" applyAlignment="1" applyProtection="1">
      <alignment vertical="center"/>
    </xf>
    <xf numFmtId="0" fontId="10" fillId="0" borderId="10" xfId="0" applyFont="1" applyFill="1" applyBorder="1" applyAlignment="1" applyProtection="1">
      <alignment horizontal="left" vertical="center"/>
      <protection hidden="1"/>
    </xf>
    <xf numFmtId="0" fontId="10" fillId="0" borderId="9" xfId="0" applyFont="1" applyFill="1" applyBorder="1" applyAlignment="1" applyProtection="1">
      <alignment horizontal="left" vertical="center"/>
      <protection hidden="1"/>
    </xf>
    <xf numFmtId="0" fontId="10" fillId="0" borderId="12" xfId="0" applyFont="1" applyFill="1" applyBorder="1" applyAlignment="1" applyProtection="1">
      <alignment horizontal="left" vertical="center"/>
      <protection hidden="1"/>
    </xf>
    <xf numFmtId="9" fontId="28" fillId="0" borderId="2" xfId="1" applyNumberFormat="1" applyFont="1" applyFill="1" applyBorder="1" applyAlignment="1" applyProtection="1">
      <alignment horizontal="left" vertical="center" wrapText="1"/>
    </xf>
    <xf numFmtId="0" fontId="28" fillId="0" borderId="2" xfId="0" applyFont="1" applyBorder="1" applyAlignment="1" applyProtection="1">
      <alignment horizontal="left" vertical="center" wrapText="1"/>
    </xf>
    <xf numFmtId="0" fontId="10" fillId="0" borderId="2" xfId="0" applyFont="1" applyFill="1" applyBorder="1" applyAlignment="1" applyProtection="1">
      <alignment horizontal="center" vertical="center"/>
      <protection hidden="1"/>
    </xf>
    <xf numFmtId="0" fontId="30" fillId="0" borderId="2" xfId="0" applyFont="1" applyBorder="1" applyAlignment="1" applyProtection="1">
      <alignment horizontal="center" vertical="center"/>
    </xf>
    <xf numFmtId="0" fontId="30" fillId="0" borderId="2" xfId="0" applyFont="1" applyBorder="1" applyAlignment="1" applyProtection="1">
      <alignment vertical="center"/>
    </xf>
    <xf numFmtId="0" fontId="27" fillId="0" borderId="50" xfId="0" applyFont="1" applyBorder="1" applyAlignment="1" applyProtection="1">
      <alignment horizontal="left" vertical="center" wrapText="1" shrinkToFit="1"/>
      <protection hidden="1"/>
    </xf>
    <xf numFmtId="0" fontId="30" fillId="0" borderId="49" xfId="0" applyFont="1" applyBorder="1" applyAlignment="1" applyProtection="1">
      <alignment horizontal="left"/>
    </xf>
    <xf numFmtId="0" fontId="30" fillId="0" borderId="49" xfId="0" applyFont="1" applyBorder="1" applyAlignment="1" applyProtection="1"/>
    <xf numFmtId="0" fontId="30" fillId="0" borderId="51" xfId="0" applyFont="1" applyBorder="1" applyAlignment="1" applyProtection="1"/>
    <xf numFmtId="0" fontId="10" fillId="0" borderId="92" xfId="0" applyFont="1" applyFill="1" applyBorder="1" applyAlignment="1" applyProtection="1">
      <alignment horizontal="center" vertical="center"/>
      <protection hidden="1"/>
    </xf>
    <xf numFmtId="0" fontId="28" fillId="0" borderId="5" xfId="0" applyFont="1" applyBorder="1" applyAlignment="1" applyProtection="1">
      <alignment horizontal="center" vertical="center"/>
    </xf>
    <xf numFmtId="0" fontId="10" fillId="11" borderId="66" xfId="0" applyFont="1" applyFill="1" applyBorder="1" applyAlignment="1" applyProtection="1">
      <alignment horizontal="center" vertical="center" wrapText="1" shrinkToFit="1"/>
      <protection hidden="1"/>
    </xf>
    <xf numFmtId="0" fontId="30" fillId="11" borderId="67" xfId="0" applyFont="1" applyFill="1" applyBorder="1" applyAlignment="1" applyProtection="1">
      <alignment horizontal="center"/>
    </xf>
    <xf numFmtId="0" fontId="30" fillId="11" borderId="65" xfId="0" applyFont="1" applyFill="1" applyBorder="1" applyAlignment="1" applyProtection="1">
      <alignment horizontal="center"/>
    </xf>
    <xf numFmtId="0" fontId="30" fillId="0" borderId="50" xfId="0" applyFont="1" applyBorder="1" applyAlignment="1" applyProtection="1">
      <alignment horizontal="center" vertical="center"/>
    </xf>
    <xf numFmtId="0" fontId="30" fillId="0" borderId="51" xfId="0" applyFont="1" applyBorder="1" applyAlignment="1" applyProtection="1">
      <alignment horizontal="center" vertical="center"/>
    </xf>
    <xf numFmtId="0" fontId="36" fillId="0" borderId="87" xfId="0" applyFont="1" applyFill="1" applyBorder="1" applyAlignment="1" applyProtection="1">
      <alignment horizontal="center" vertical="center"/>
      <protection hidden="1"/>
    </xf>
    <xf numFmtId="0" fontId="35" fillId="0" borderId="10" xfId="0" applyFont="1" applyBorder="1" applyAlignment="1" applyProtection="1">
      <alignment horizontal="center" vertical="center"/>
    </xf>
    <xf numFmtId="0" fontId="36" fillId="0" borderId="11" xfId="0" applyFont="1" applyFill="1" applyBorder="1" applyAlignment="1" applyProtection="1">
      <alignment horizontal="center" vertical="center" wrapText="1"/>
      <protection hidden="1"/>
    </xf>
    <xf numFmtId="0" fontId="35" fillId="0" borderId="10" xfId="0" applyFont="1" applyBorder="1" applyAlignment="1" applyProtection="1">
      <alignment horizontal="center" vertical="center" wrapText="1"/>
    </xf>
    <xf numFmtId="0" fontId="27" fillId="0" borderId="10" xfId="0" applyFont="1" applyBorder="1" applyAlignment="1" applyProtection="1">
      <alignment horizontal="left" vertical="center" wrapText="1" shrinkToFit="1"/>
      <protection hidden="1"/>
    </xf>
    <xf numFmtId="0" fontId="30" fillId="0" borderId="9" xfId="0" applyFont="1" applyBorder="1" applyAlignment="1" applyProtection="1">
      <alignment horizontal="left"/>
    </xf>
    <xf numFmtId="0" fontId="30" fillId="0" borderId="9" xfId="0" applyFont="1" applyBorder="1" applyAlignment="1" applyProtection="1">
      <alignment vertical="center"/>
    </xf>
    <xf numFmtId="0" fontId="30" fillId="0" borderId="11" xfId="0" applyFont="1" applyBorder="1" applyAlignment="1" applyProtection="1">
      <alignment vertical="center"/>
    </xf>
    <xf numFmtId="0" fontId="27" fillId="0" borderId="10" xfId="0" applyFont="1" applyFill="1" applyBorder="1" applyAlignment="1" applyProtection="1">
      <alignment horizontal="center" vertical="center"/>
      <protection hidden="1"/>
    </xf>
    <xf numFmtId="0" fontId="30" fillId="0" borderId="11" xfId="0" applyFont="1" applyBorder="1" applyAlignment="1" applyProtection="1">
      <alignment horizontal="center"/>
    </xf>
    <xf numFmtId="166" fontId="30" fillId="0" borderId="10" xfId="0" applyNumberFormat="1" applyFont="1" applyBorder="1" applyAlignment="1" applyProtection="1">
      <alignment horizontal="center" vertical="center"/>
    </xf>
    <xf numFmtId="166" fontId="30" fillId="0" borderId="11" xfId="0" applyNumberFormat="1" applyFont="1" applyBorder="1" applyAlignment="1" applyProtection="1">
      <alignment horizontal="center" vertical="center"/>
    </xf>
    <xf numFmtId="0" fontId="30" fillId="9" borderId="86" xfId="0" applyFont="1" applyFill="1" applyBorder="1" applyAlignment="1" applyProtection="1">
      <alignment horizontal="left" vertical="center" wrapText="1"/>
      <protection hidden="1"/>
    </xf>
    <xf numFmtId="0" fontId="30" fillId="9" borderId="72" xfId="0" applyFont="1" applyFill="1" applyBorder="1" applyAlignment="1" applyProtection="1">
      <alignment horizontal="left" vertical="center" wrapText="1"/>
    </xf>
    <xf numFmtId="0" fontId="30" fillId="9" borderId="54" xfId="0" applyFont="1" applyFill="1" applyBorder="1" applyAlignment="1" applyProtection="1">
      <alignment horizontal="left" vertical="center" wrapText="1"/>
      <protection hidden="1"/>
    </xf>
    <xf numFmtId="0" fontId="30" fillId="9" borderId="52" xfId="0" applyFont="1" applyFill="1" applyBorder="1" applyAlignment="1" applyProtection="1">
      <alignment horizontal="left" vertical="center" wrapText="1"/>
    </xf>
    <xf numFmtId="0" fontId="30" fillId="9" borderId="54" xfId="0" applyFont="1" applyFill="1" applyBorder="1" applyAlignment="1" applyProtection="1">
      <alignment horizontal="left" vertical="center" wrapText="1"/>
    </xf>
    <xf numFmtId="0" fontId="0" fillId="9" borderId="63" xfId="0" applyFill="1" applyBorder="1" applyAlignment="1" applyProtection="1">
      <alignment horizontal="left" vertical="center" wrapText="1"/>
    </xf>
    <xf numFmtId="0" fontId="0" fillId="9" borderId="62" xfId="0" applyFill="1" applyBorder="1" applyAlignment="1" applyProtection="1">
      <alignment horizontal="left" vertical="center" wrapText="1"/>
    </xf>
    <xf numFmtId="0" fontId="28" fillId="10" borderId="2" xfId="0" applyFont="1" applyFill="1" applyBorder="1" applyAlignment="1" applyProtection="1">
      <alignment horizontal="center" vertical="center"/>
    </xf>
    <xf numFmtId="0" fontId="0" fillId="10" borderId="68" xfId="0" applyFill="1" applyBorder="1" applyAlignment="1" applyProtection="1">
      <alignment horizontal="center" vertical="center"/>
    </xf>
    <xf numFmtId="0" fontId="26" fillId="0" borderId="89" xfId="0" applyFont="1" applyFill="1" applyBorder="1" applyAlignment="1" applyProtection="1">
      <alignment horizontal="center" vertical="center"/>
      <protection hidden="1"/>
    </xf>
    <xf numFmtId="0" fontId="29" fillId="0" borderId="49" xfId="0" applyFont="1" applyFill="1" applyBorder="1" applyAlignment="1" applyProtection="1">
      <alignment horizontal="center" vertical="center"/>
    </xf>
    <xf numFmtId="0" fontId="29" fillId="0" borderId="9" xfId="0" applyFont="1" applyFill="1" applyBorder="1" applyAlignment="1" applyProtection="1">
      <alignment horizontal="center" vertical="center"/>
    </xf>
    <xf numFmtId="0" fontId="29" fillId="0" borderId="12" xfId="0" applyFont="1" applyFill="1" applyBorder="1" applyAlignment="1" applyProtection="1">
      <alignment horizontal="center" vertical="center"/>
    </xf>
    <xf numFmtId="4" fontId="26" fillId="0" borderId="81" xfId="0" applyNumberFormat="1" applyFont="1" applyFill="1" applyBorder="1" applyAlignment="1" applyProtection="1">
      <alignment horizontal="center" vertical="center" wrapText="1"/>
      <protection hidden="1"/>
    </xf>
    <xf numFmtId="0" fontId="0" fillId="0" borderId="78" xfId="0" applyBorder="1" applyAlignment="1">
      <alignment horizontal="center" vertical="center" wrapText="1"/>
    </xf>
    <xf numFmtId="4" fontId="26" fillId="0" borderId="83" xfId="0" applyNumberFormat="1" applyFont="1" applyFill="1" applyBorder="1" applyAlignment="1" applyProtection="1">
      <alignment horizontal="center" vertical="center" wrapText="1"/>
      <protection hidden="1"/>
    </xf>
    <xf numFmtId="0" fontId="0" fillId="0" borderId="68" xfId="0" applyBorder="1" applyAlignment="1">
      <alignment horizontal="center" vertical="center" wrapText="1"/>
    </xf>
    <xf numFmtId="0" fontId="28" fillId="0" borderId="86" xfId="0" applyFont="1" applyBorder="1" applyAlignment="1" applyProtection="1">
      <alignment horizontal="center" vertical="center" wrapText="1"/>
    </xf>
    <xf numFmtId="0" fontId="11" fillId="0" borderId="71" xfId="0" applyFont="1" applyBorder="1" applyAlignment="1">
      <alignment horizontal="center" vertical="center"/>
    </xf>
    <xf numFmtId="0" fontId="11" fillId="0" borderId="72" xfId="0" applyFont="1" applyBorder="1" applyAlignment="1">
      <alignment horizontal="center" vertical="center"/>
    </xf>
    <xf numFmtId="0" fontId="11" fillId="0" borderId="54" xfId="0" applyFont="1" applyBorder="1" applyAlignment="1">
      <alignment horizontal="center" vertical="center" wrapText="1"/>
    </xf>
    <xf numFmtId="0" fontId="11" fillId="0" borderId="0" xfId="0" applyFont="1" applyBorder="1" applyAlignment="1">
      <alignment horizontal="center" vertical="center"/>
    </xf>
    <xf numFmtId="0" fontId="11" fillId="0" borderId="52" xfId="0" applyFont="1" applyBorder="1" applyAlignment="1">
      <alignment horizontal="center" vertical="center"/>
    </xf>
    <xf numFmtId="0" fontId="10" fillId="3" borderId="109" xfId="0" applyFont="1" applyFill="1" applyBorder="1" applyAlignment="1" applyProtection="1">
      <alignment horizontal="center" vertical="center" wrapText="1" shrinkToFit="1"/>
      <protection locked="0"/>
    </xf>
    <xf numFmtId="0" fontId="0" fillId="0" borderId="108" xfId="0" applyBorder="1" applyAlignment="1" applyProtection="1">
      <alignment horizontal="center" vertical="center" wrapText="1" shrinkToFit="1"/>
      <protection locked="0"/>
    </xf>
    <xf numFmtId="0" fontId="28" fillId="9" borderId="81" xfId="0" applyFont="1" applyFill="1" applyBorder="1" applyAlignment="1" applyProtection="1">
      <alignment horizontal="right" vertical="center"/>
    </xf>
    <xf numFmtId="0" fontId="0" fillId="9" borderId="78" xfId="0" applyFill="1" applyBorder="1" applyAlignment="1" applyProtection="1">
      <alignment horizontal="right"/>
    </xf>
    <xf numFmtId="0" fontId="28" fillId="9" borderId="87" xfId="0" applyFont="1" applyFill="1" applyBorder="1" applyAlignment="1" applyProtection="1">
      <alignment horizontal="right" vertical="center"/>
    </xf>
    <xf numFmtId="166" fontId="10" fillId="0" borderId="50" xfId="0" applyNumberFormat="1" applyFont="1" applyFill="1" applyBorder="1" applyAlignment="1" applyProtection="1">
      <alignment horizontal="center" vertical="center" wrapText="1" shrinkToFit="1"/>
      <protection hidden="1"/>
    </xf>
    <xf numFmtId="0" fontId="28" fillId="0" borderId="49" xfId="0" applyFont="1" applyFill="1" applyBorder="1" applyAlignment="1" applyProtection="1">
      <alignment horizontal="center" vertical="center"/>
    </xf>
    <xf numFmtId="0" fontId="28" fillId="0" borderId="51" xfId="0" applyFont="1" applyFill="1" applyBorder="1" applyAlignment="1" applyProtection="1">
      <alignment horizontal="center" vertical="center"/>
    </xf>
    <xf numFmtId="0" fontId="1" fillId="10" borderId="4" xfId="0" applyFont="1" applyFill="1" applyBorder="1" applyAlignment="1" applyProtection="1">
      <alignment horizontal="center" vertical="center"/>
      <protection hidden="1"/>
    </xf>
    <xf numFmtId="0" fontId="0" fillId="10" borderId="5" xfId="0" applyFill="1" applyBorder="1" applyAlignment="1" applyProtection="1">
      <alignment horizontal="center" vertical="center"/>
    </xf>
    <xf numFmtId="10" fontId="30" fillId="10" borderId="2" xfId="0" applyNumberFormat="1" applyFont="1" applyFill="1" applyBorder="1" applyAlignment="1" applyProtection="1">
      <alignment horizontal="center" vertical="center"/>
    </xf>
    <xf numFmtId="10" fontId="0" fillId="10" borderId="2" xfId="0" applyNumberFormat="1" applyFill="1" applyBorder="1" applyAlignment="1" applyProtection="1">
      <alignment horizontal="center" vertical="center"/>
    </xf>
    <xf numFmtId="0" fontId="0" fillId="9" borderId="78" xfId="0" applyFill="1" applyBorder="1" applyAlignment="1" applyProtection="1">
      <alignment horizontal="center"/>
    </xf>
    <xf numFmtId="0" fontId="0" fillId="9" borderId="82" xfId="0" applyFill="1" applyBorder="1" applyAlignment="1" applyProtection="1">
      <alignment horizontal="center"/>
    </xf>
    <xf numFmtId="0" fontId="10" fillId="11" borderId="59" xfId="0" applyFont="1" applyFill="1" applyBorder="1" applyAlignment="1" applyProtection="1">
      <alignment horizontal="center" vertical="center" wrapText="1" shrinkToFit="1"/>
      <protection hidden="1"/>
    </xf>
    <xf numFmtId="0" fontId="30" fillId="11" borderId="57" xfId="0" applyFont="1" applyFill="1" applyBorder="1" applyAlignment="1" applyProtection="1"/>
    <xf numFmtId="0" fontId="30" fillId="11" borderId="58" xfId="0" applyFont="1" applyFill="1" applyBorder="1" applyAlignment="1" applyProtection="1"/>
    <xf numFmtId="0" fontId="10" fillId="10" borderId="81" xfId="0" applyFont="1" applyFill="1" applyBorder="1" applyAlignment="1" applyProtection="1">
      <alignment horizontal="center" vertical="center"/>
      <protection hidden="1"/>
    </xf>
    <xf numFmtId="0" fontId="10" fillId="10" borderId="87" xfId="0" applyFont="1" applyFill="1" applyBorder="1" applyAlignment="1" applyProtection="1">
      <alignment horizontal="center" vertical="center"/>
      <protection hidden="1"/>
    </xf>
    <xf numFmtId="0" fontId="30" fillId="10" borderId="83" xfId="0" applyFont="1" applyFill="1" applyBorder="1" applyAlignment="1" applyProtection="1">
      <alignment horizontal="center"/>
    </xf>
    <xf numFmtId="0" fontId="30" fillId="10" borderId="68" xfId="0" applyFont="1" applyFill="1" applyBorder="1" applyAlignment="1" applyProtection="1">
      <alignment horizontal="center"/>
    </xf>
    <xf numFmtId="0" fontId="30" fillId="10" borderId="78" xfId="0" applyFont="1" applyFill="1" applyBorder="1" applyAlignment="1" applyProtection="1">
      <alignment horizontal="left" vertical="center" wrapText="1"/>
      <protection hidden="1"/>
    </xf>
    <xf numFmtId="0" fontId="30" fillId="10" borderId="78" xfId="0" applyFont="1" applyFill="1" applyBorder="1" applyAlignment="1" applyProtection="1">
      <alignment horizontal="left" vertical="center" wrapText="1"/>
    </xf>
    <xf numFmtId="0" fontId="30" fillId="10" borderId="2" xfId="0" applyFont="1" applyFill="1" applyBorder="1" applyAlignment="1" applyProtection="1">
      <alignment horizontal="left" vertical="center" wrapText="1"/>
      <protection hidden="1"/>
    </xf>
    <xf numFmtId="0" fontId="30" fillId="10" borderId="2" xfId="0" applyFont="1" applyFill="1" applyBorder="1" applyAlignment="1" applyProtection="1">
      <alignment horizontal="left" vertical="center" wrapText="1"/>
    </xf>
    <xf numFmtId="0" fontId="30" fillId="10" borderId="68" xfId="0" applyFont="1" applyFill="1" applyBorder="1" applyAlignment="1" applyProtection="1">
      <alignment horizontal="left" vertical="center" wrapText="1"/>
    </xf>
    <xf numFmtId="0" fontId="10" fillId="0" borderId="54" xfId="0" applyFont="1" applyFill="1" applyBorder="1" applyAlignment="1" applyProtection="1">
      <alignment horizontal="center" vertical="center"/>
      <protection hidden="1"/>
    </xf>
    <xf numFmtId="0" fontId="0" fillId="0" borderId="50" xfId="0" applyBorder="1" applyAlignment="1" applyProtection="1"/>
    <xf numFmtId="0" fontId="30" fillId="10" borderId="2" xfId="0" applyFont="1" applyFill="1" applyBorder="1" applyAlignment="1" applyProtection="1"/>
    <xf numFmtId="0" fontId="30" fillId="10" borderId="4" xfId="0" applyFont="1" applyFill="1" applyBorder="1" applyAlignment="1" applyProtection="1"/>
    <xf numFmtId="0" fontId="30" fillId="10" borderId="87" xfId="0" applyFont="1" applyFill="1" applyBorder="1" applyAlignment="1" applyProtection="1">
      <alignment horizontal="center"/>
    </xf>
    <xf numFmtId="0" fontId="30" fillId="10" borderId="2" xfId="0" applyFont="1" applyFill="1" applyBorder="1" applyAlignment="1" applyProtection="1">
      <alignment horizontal="center"/>
    </xf>
    <xf numFmtId="0" fontId="30" fillId="10" borderId="101" xfId="0" applyFont="1" applyFill="1" applyBorder="1" applyAlignment="1" applyProtection="1">
      <alignment horizontal="center"/>
    </xf>
    <xf numFmtId="0" fontId="30" fillId="10" borderId="4" xfId="0" applyFont="1" applyFill="1" applyBorder="1" applyAlignment="1" applyProtection="1">
      <alignment horizontal="center"/>
    </xf>
    <xf numFmtId="166" fontId="10" fillId="11" borderId="67" xfId="0" applyNumberFormat="1" applyFont="1" applyFill="1" applyBorder="1" applyAlignment="1" applyProtection="1">
      <alignment horizontal="center" vertical="center"/>
      <protection hidden="1"/>
    </xf>
    <xf numFmtId="166" fontId="10" fillId="11" borderId="69" xfId="0" applyNumberFormat="1" applyFont="1" applyFill="1" applyBorder="1" applyAlignment="1" applyProtection="1">
      <alignment horizontal="center" vertical="center"/>
      <protection hidden="1"/>
    </xf>
    <xf numFmtId="0" fontId="0" fillId="10" borderId="68" xfId="0" applyFill="1" applyBorder="1" applyAlignment="1" applyProtection="1">
      <alignment horizontal="center"/>
    </xf>
    <xf numFmtId="0" fontId="0" fillId="10" borderId="84" xfId="0" applyFill="1" applyBorder="1" applyAlignment="1" applyProtection="1">
      <alignment horizontal="center"/>
    </xf>
    <xf numFmtId="0" fontId="0" fillId="10" borderId="78" xfId="0" applyFill="1" applyBorder="1" applyAlignment="1" applyProtection="1">
      <alignment horizontal="center"/>
    </xf>
    <xf numFmtId="0" fontId="0" fillId="10" borderId="82" xfId="0" applyFill="1" applyBorder="1" applyAlignment="1" applyProtection="1">
      <alignment horizontal="center"/>
    </xf>
    <xf numFmtId="0" fontId="28" fillId="10" borderId="87" xfId="0" applyFont="1" applyFill="1" applyBorder="1" applyAlignment="1" applyProtection="1">
      <alignment horizontal="right" vertical="center"/>
    </xf>
    <xf numFmtId="0" fontId="26" fillId="0" borderId="6" xfId="0" applyNumberFormat="1" applyFont="1" applyFill="1" applyBorder="1" applyAlignment="1" applyProtection="1">
      <alignment horizontal="left" vertical="center" wrapText="1"/>
    </xf>
    <xf numFmtId="0" fontId="0" fillId="0" borderId="7" xfId="0" applyBorder="1" applyAlignment="1">
      <alignment horizontal="left" vertical="center" wrapText="1"/>
    </xf>
    <xf numFmtId="0" fontId="26" fillId="0" borderId="105" xfId="0" applyNumberFormat="1" applyFont="1" applyFill="1" applyBorder="1" applyAlignment="1" applyProtection="1">
      <alignment horizontal="left" vertical="center" wrapText="1"/>
    </xf>
    <xf numFmtId="0" fontId="0" fillId="0" borderId="8" xfId="0" applyBorder="1" applyAlignment="1">
      <alignment horizontal="left" vertical="center" wrapText="1"/>
    </xf>
    <xf numFmtId="166" fontId="26" fillId="0" borderId="63" xfId="0" applyNumberFormat="1" applyFont="1" applyFill="1" applyBorder="1" applyAlignment="1" applyProtection="1">
      <alignment horizontal="left" vertical="center" wrapText="1"/>
      <protection hidden="1"/>
    </xf>
    <xf numFmtId="0" fontId="33" fillId="0" borderId="99" xfId="0" applyFont="1" applyFill="1" applyBorder="1" applyAlignment="1" applyProtection="1">
      <alignment horizontal="left" vertical="center" wrapText="1"/>
      <protection hidden="1"/>
    </xf>
    <xf numFmtId="0" fontId="29" fillId="0" borderId="99" xfId="0" applyFont="1" applyFill="1" applyBorder="1" applyAlignment="1" applyProtection="1">
      <alignment vertical="center" wrapText="1"/>
    </xf>
    <xf numFmtId="0" fontId="29" fillId="0" borderId="100" xfId="0" applyFont="1" applyFill="1" applyBorder="1" applyAlignment="1" applyProtection="1">
      <alignment vertical="center" wrapText="1"/>
    </xf>
    <xf numFmtId="0" fontId="27" fillId="0" borderId="2" xfId="0" applyFont="1" applyBorder="1" applyAlignment="1" applyProtection="1">
      <alignment horizontal="left" vertical="center" wrapText="1" shrinkToFit="1"/>
      <protection hidden="1"/>
    </xf>
    <xf numFmtId="0" fontId="30" fillId="0" borderId="2" xfId="0" applyFont="1" applyBorder="1" applyAlignment="1" applyProtection="1">
      <alignment horizontal="left"/>
    </xf>
    <xf numFmtId="0" fontId="30" fillId="0" borderId="2" xfId="0" applyFont="1" applyBorder="1" applyAlignment="1" applyProtection="1"/>
    <xf numFmtId="0" fontId="10" fillId="0" borderId="96" xfId="0" applyFont="1" applyFill="1" applyBorder="1" applyAlignment="1" applyProtection="1">
      <alignment horizontal="center" vertical="center"/>
      <protection hidden="1"/>
    </xf>
    <xf numFmtId="0" fontId="10" fillId="0" borderId="11" xfId="0" applyFont="1" applyFill="1" applyBorder="1" applyAlignment="1" applyProtection="1">
      <alignment horizontal="center" vertical="center"/>
      <protection hidden="1"/>
    </xf>
    <xf numFmtId="166" fontId="38" fillId="0" borderId="11" xfId="0" applyNumberFormat="1" applyFont="1" applyFill="1" applyBorder="1" applyAlignment="1" applyProtection="1">
      <alignment horizontal="center" vertical="center" wrapText="1"/>
      <protection hidden="1"/>
    </xf>
    <xf numFmtId="166" fontId="39" fillId="0" borderId="2" xfId="0" applyNumberFormat="1" applyFont="1" applyBorder="1" applyAlignment="1" applyProtection="1">
      <alignment horizontal="center" vertical="center"/>
    </xf>
    <xf numFmtId="0" fontId="10" fillId="0" borderId="10" xfId="0" applyFont="1" applyFill="1" applyBorder="1" applyAlignment="1" applyProtection="1">
      <alignment horizontal="center" vertical="center"/>
      <protection hidden="1"/>
    </xf>
    <xf numFmtId="0" fontId="10" fillId="0" borderId="9" xfId="0" applyFont="1" applyFill="1" applyBorder="1" applyAlignment="1" applyProtection="1">
      <alignment horizontal="center" vertical="center"/>
      <protection hidden="1"/>
    </xf>
    <xf numFmtId="166" fontId="10" fillId="0" borderId="9" xfId="0" applyNumberFormat="1" applyFont="1" applyFill="1" applyBorder="1" applyAlignment="1" applyProtection="1">
      <alignment horizontal="center" vertical="center" wrapText="1"/>
      <protection hidden="1"/>
    </xf>
    <xf numFmtId="166" fontId="10" fillId="0" borderId="11" xfId="0" applyNumberFormat="1" applyFont="1" applyFill="1" applyBorder="1" applyAlignment="1" applyProtection="1">
      <alignment horizontal="center" vertical="center" wrapText="1"/>
      <protection hidden="1"/>
    </xf>
    <xf numFmtId="0" fontId="43" fillId="0" borderId="97" xfId="0" applyFont="1" applyFill="1" applyBorder="1" applyAlignment="1" applyProtection="1">
      <alignment horizontal="center" vertical="center"/>
      <protection hidden="1"/>
    </xf>
    <xf numFmtId="0" fontId="44" fillId="0" borderId="55" xfId="0" applyFont="1" applyBorder="1" applyAlignment="1" applyProtection="1">
      <alignment horizontal="center" vertical="center"/>
    </xf>
    <xf numFmtId="0" fontId="10" fillId="0" borderId="55" xfId="0" applyFont="1" applyFill="1" applyBorder="1" applyAlignment="1" applyProtection="1">
      <alignment horizontal="center" vertical="center" wrapText="1"/>
      <protection hidden="1"/>
    </xf>
    <xf numFmtId="0" fontId="30" fillId="0" borderId="55" xfId="0" applyFont="1" applyBorder="1" applyAlignment="1" applyProtection="1">
      <alignment horizontal="center" vertical="center" wrapText="1"/>
    </xf>
    <xf numFmtId="167" fontId="10" fillId="0" borderId="55" xfId="0" applyNumberFormat="1" applyFont="1" applyFill="1" applyBorder="1" applyAlignment="1" applyProtection="1">
      <alignment horizontal="center" vertical="center" wrapText="1"/>
      <protection hidden="1"/>
    </xf>
    <xf numFmtId="167" fontId="30" fillId="0" borderId="55" xfId="0" applyNumberFormat="1" applyFont="1" applyBorder="1" applyAlignment="1" applyProtection="1">
      <alignment horizontal="center" vertical="center"/>
    </xf>
    <xf numFmtId="0" fontId="36" fillId="0" borderId="87" xfId="0" applyFont="1" applyBorder="1" applyAlignment="1" applyProtection="1">
      <alignment horizontal="center" vertical="center" wrapText="1"/>
      <protection hidden="1"/>
    </xf>
    <xf numFmtId="0" fontId="34" fillId="0" borderId="2" xfId="0" applyFont="1" applyBorder="1" applyAlignment="1" applyProtection="1">
      <alignment horizontal="center" vertical="center"/>
      <protection hidden="1"/>
    </xf>
    <xf numFmtId="0" fontId="35" fillId="0" borderId="2" xfId="0" applyFont="1" applyBorder="1" applyAlignment="1" applyProtection="1">
      <alignment horizontal="center" vertical="center"/>
    </xf>
    <xf numFmtId="0" fontId="36" fillId="0" borderId="90" xfId="0" applyFont="1" applyFill="1" applyBorder="1" applyAlignment="1" applyProtection="1">
      <alignment horizontal="right" vertical="center"/>
      <protection hidden="1"/>
    </xf>
    <xf numFmtId="0" fontId="35" fillId="0" borderId="1" xfId="0" applyFont="1" applyBorder="1" applyAlignment="1" applyProtection="1">
      <alignment horizontal="right" vertical="center"/>
    </xf>
    <xf numFmtId="0" fontId="35" fillId="0" borderId="89" xfId="0" applyFont="1" applyBorder="1" applyAlignment="1" applyProtection="1">
      <alignment horizontal="right" vertical="center"/>
    </xf>
    <xf numFmtId="0" fontId="35" fillId="0" borderId="49" xfId="0" applyFont="1" applyBorder="1" applyAlignment="1" applyProtection="1">
      <alignment horizontal="right" vertical="center"/>
    </xf>
    <xf numFmtId="0" fontId="3" fillId="3" borderId="10" xfId="0" quotePrefix="1" applyFont="1" applyFill="1" applyBorder="1" applyAlignment="1" applyProtection="1">
      <alignment horizontal="left" vertical="center" wrapText="1"/>
      <protection locked="0"/>
    </xf>
    <xf numFmtId="0" fontId="3" fillId="3" borderId="9" xfId="0" quotePrefix="1" applyFont="1" applyFill="1" applyBorder="1" applyAlignment="1" applyProtection="1">
      <alignment horizontal="left" vertical="center" wrapText="1"/>
      <protection locked="0"/>
    </xf>
    <xf numFmtId="0" fontId="0" fillId="3" borderId="9" xfId="0" applyFill="1" applyBorder="1" applyAlignment="1" applyProtection="1">
      <alignment horizontal="left" vertical="center" wrapText="1"/>
      <protection locked="0"/>
    </xf>
    <xf numFmtId="0" fontId="0" fillId="3" borderId="12" xfId="0" applyFill="1" applyBorder="1" applyAlignment="1" applyProtection="1">
      <alignment horizontal="left" vertical="center" wrapText="1"/>
      <protection locked="0"/>
    </xf>
    <xf numFmtId="0" fontId="3" fillId="0" borderId="4" xfId="0" applyFont="1" applyBorder="1" applyAlignment="1">
      <alignment horizontal="center" vertical="center" textRotation="180" wrapText="1" readingOrder="1"/>
    </xf>
    <xf numFmtId="0" fontId="0" fillId="0" borderId="53" xfId="0" applyBorder="1" applyAlignment="1">
      <alignment horizontal="center" vertical="center" textRotation="180" wrapText="1" readingOrder="1"/>
    </xf>
    <xf numFmtId="0" fontId="0" fillId="0" borderId="5" xfId="0" applyBorder="1" applyAlignment="1">
      <alignment horizontal="center" vertical="center" textRotation="180" wrapText="1" readingOrder="1"/>
    </xf>
    <xf numFmtId="0" fontId="10" fillId="13" borderId="2" xfId="0" applyFont="1" applyFill="1" applyBorder="1" applyAlignment="1">
      <alignment horizontal="center" vertical="center" wrapText="1"/>
    </xf>
    <xf numFmtId="0" fontId="10" fillId="13" borderId="2" xfId="0" applyFont="1" applyFill="1" applyBorder="1" applyAlignment="1">
      <alignment vertical="center" wrapText="1"/>
    </xf>
    <xf numFmtId="166" fontId="10" fillId="13" borderId="2" xfId="0" applyNumberFormat="1" applyFont="1" applyFill="1" applyBorder="1" applyAlignment="1">
      <alignment horizontal="center" vertical="center"/>
    </xf>
    <xf numFmtId="0" fontId="0" fillId="0" borderId="2" xfId="0" applyBorder="1" applyAlignment="1">
      <alignment horizontal="center" vertical="center"/>
    </xf>
    <xf numFmtId="0" fontId="0" fillId="0" borderId="91" xfId="0" applyBorder="1" applyAlignment="1">
      <alignment horizontal="center" vertical="center"/>
    </xf>
    <xf numFmtId="0" fontId="3" fillId="0" borderId="72" xfId="0" applyFont="1" applyBorder="1" applyAlignment="1">
      <alignment horizontal="right" vertical="center"/>
    </xf>
    <xf numFmtId="0" fontId="0" fillId="0" borderId="51" xfId="0" applyBorder="1" applyAlignment="1">
      <alignment horizontal="right" vertical="center"/>
    </xf>
    <xf numFmtId="0" fontId="11" fillId="0" borderId="110" xfId="0" applyFont="1" applyBorder="1" applyAlignment="1">
      <alignment horizontal="center" vertical="center"/>
    </xf>
    <xf numFmtId="0" fontId="11" fillId="0" borderId="92" xfId="0" applyFont="1" applyBorder="1" applyAlignment="1">
      <alignment horizontal="center" vertical="center"/>
    </xf>
    <xf numFmtId="0" fontId="3" fillId="3" borderId="74" xfId="0" applyFont="1" applyFill="1" applyBorder="1" applyAlignment="1" applyProtection="1">
      <alignment horizontal="center" vertical="center"/>
      <protection locked="0"/>
    </xf>
    <xf numFmtId="0" fontId="0" fillId="0" borderId="5" xfId="0" applyBorder="1" applyAlignment="1" applyProtection="1">
      <alignment horizontal="center" vertical="center"/>
      <protection locked="0"/>
    </xf>
    <xf numFmtId="0" fontId="3" fillId="0" borderId="96" xfId="0" applyFont="1" applyBorder="1" applyAlignment="1">
      <alignment horizontal="right" vertical="center" wrapText="1"/>
    </xf>
    <xf numFmtId="0" fontId="0" fillId="0" borderId="9" xfId="0" applyBorder="1" applyAlignment="1">
      <alignment horizontal="right" vertical="center" wrapText="1"/>
    </xf>
    <xf numFmtId="0" fontId="0" fillId="0" borderId="11" xfId="0" applyBorder="1" applyAlignment="1">
      <alignment horizontal="right" vertical="center" wrapText="1"/>
    </xf>
    <xf numFmtId="0" fontId="3" fillId="0" borderId="10" xfId="0" applyFont="1" applyBorder="1" applyAlignment="1">
      <alignment horizontal="left" vertical="center" wrapText="1"/>
    </xf>
    <xf numFmtId="0" fontId="3" fillId="0" borderId="9" xfId="0" applyFont="1" applyBorder="1" applyAlignment="1">
      <alignment horizontal="left" vertical="center" wrapText="1"/>
    </xf>
    <xf numFmtId="0" fontId="0" fillId="0" borderId="9" xfId="0" applyBorder="1" applyAlignment="1">
      <alignment horizontal="left" vertical="center" wrapText="1"/>
    </xf>
    <xf numFmtId="0" fontId="0" fillId="0" borderId="12" xfId="0" applyBorder="1" applyAlignment="1">
      <alignment horizontal="left" vertical="center" wrapText="1"/>
    </xf>
    <xf numFmtId="0" fontId="3" fillId="3" borderId="10" xfId="0" applyFont="1" applyFill="1" applyBorder="1" applyAlignment="1" applyProtection="1">
      <alignment horizontal="center" vertical="center"/>
      <protection locked="0"/>
    </xf>
    <xf numFmtId="0" fontId="0" fillId="0" borderId="11" xfId="0" applyBorder="1" applyAlignment="1">
      <alignment vertical="center"/>
    </xf>
    <xf numFmtId="0" fontId="3" fillId="0" borderId="87" xfId="0" applyFont="1" applyBorder="1" applyAlignment="1">
      <alignment horizontal="right" vertical="center" wrapText="1"/>
    </xf>
    <xf numFmtId="0" fontId="0" fillId="0" borderId="2" xfId="0" applyBorder="1" applyAlignment="1">
      <alignment horizontal="right" vertical="center" wrapText="1"/>
    </xf>
    <xf numFmtId="0" fontId="3" fillId="0" borderId="2" xfId="0" applyFont="1" applyBorder="1" applyAlignment="1">
      <alignment horizontal="left" vertical="center" wrapText="1"/>
    </xf>
    <xf numFmtId="0" fontId="0" fillId="0" borderId="2" xfId="0" applyBorder="1" applyAlignment="1">
      <alignment horizontal="left" vertical="center" wrapText="1"/>
    </xf>
    <xf numFmtId="0" fontId="0" fillId="0" borderId="10" xfId="0" applyBorder="1" applyAlignment="1">
      <alignment horizontal="left" vertical="center" wrapText="1"/>
    </xf>
    <xf numFmtId="0" fontId="0" fillId="0" borderId="91" xfId="0" applyBorder="1" applyAlignment="1">
      <alignment horizontal="left" vertical="center" wrapText="1"/>
    </xf>
    <xf numFmtId="0" fontId="3" fillId="3" borderId="10" xfId="0" applyFont="1" applyFill="1" applyBorder="1" applyAlignment="1" applyProtection="1">
      <alignment horizontal="left" vertical="center" wrapText="1"/>
      <protection locked="0"/>
    </xf>
    <xf numFmtId="0" fontId="3" fillId="3" borderId="9" xfId="0" applyFont="1" applyFill="1" applyBorder="1" applyAlignment="1" applyProtection="1">
      <alignment horizontal="left" vertical="center" wrapText="1"/>
      <protection locked="0"/>
    </xf>
    <xf numFmtId="0" fontId="0" fillId="0" borderId="9" xfId="0" applyBorder="1" applyAlignment="1" applyProtection="1">
      <alignment horizontal="left" vertical="center" wrapText="1"/>
      <protection locked="0"/>
    </xf>
    <xf numFmtId="0" fontId="0" fillId="0" borderId="12" xfId="0" applyBorder="1" applyAlignment="1" applyProtection="1">
      <alignment horizontal="left" vertical="center" wrapText="1"/>
      <protection locked="0"/>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166" fontId="1" fillId="9" borderId="50" xfId="0" applyNumberFormat="1" applyFont="1" applyFill="1" applyBorder="1" applyAlignment="1">
      <alignment horizontal="center" vertical="center"/>
    </xf>
    <xf numFmtId="166" fontId="1" fillId="9" borderId="49" xfId="0" applyNumberFormat="1" applyFont="1" applyFill="1" applyBorder="1" applyAlignment="1">
      <alignment horizontal="center" vertical="center"/>
    </xf>
    <xf numFmtId="0" fontId="8" fillId="9" borderId="49" xfId="0" applyFont="1" applyFill="1" applyBorder="1" applyAlignment="1">
      <alignment horizontal="center" vertical="center"/>
    </xf>
    <xf numFmtId="0" fontId="8" fillId="9" borderId="88" xfId="0" applyFont="1" applyFill="1" applyBorder="1" applyAlignment="1">
      <alignment horizontal="center" vertical="center"/>
    </xf>
    <xf numFmtId="166" fontId="1" fillId="12" borderId="66" xfId="0" applyNumberFormat="1" applyFont="1" applyFill="1" applyBorder="1" applyAlignment="1">
      <alignment horizontal="center" vertical="center"/>
    </xf>
    <xf numFmtId="166" fontId="1" fillId="12" borderId="67" xfId="0" applyNumberFormat="1" applyFont="1" applyFill="1" applyBorder="1" applyAlignment="1">
      <alignment horizontal="center" vertical="center"/>
    </xf>
    <xf numFmtId="0" fontId="8" fillId="12" borderId="67" xfId="0" applyFont="1" applyFill="1" applyBorder="1" applyAlignment="1">
      <alignment horizontal="center" vertical="center"/>
    </xf>
    <xf numFmtId="0" fontId="8" fillId="12" borderId="69" xfId="0" applyFont="1" applyFill="1" applyBorder="1" applyAlignment="1">
      <alignment horizontal="center" vertical="center"/>
    </xf>
    <xf numFmtId="166" fontId="3" fillId="0" borderId="2" xfId="0" applyNumberFormat="1" applyFont="1" applyBorder="1" applyAlignment="1">
      <alignment horizontal="left" vertical="center" wrapText="1"/>
    </xf>
    <xf numFmtId="166" fontId="0" fillId="0" borderId="2" xfId="0" applyNumberFormat="1" applyBorder="1" applyAlignment="1">
      <alignment horizontal="left" vertical="center" wrapText="1"/>
    </xf>
    <xf numFmtId="166" fontId="0" fillId="0" borderId="10" xfId="0" applyNumberFormat="1" applyBorder="1" applyAlignment="1">
      <alignment horizontal="left" vertical="center" wrapText="1"/>
    </xf>
    <xf numFmtId="166" fontId="0" fillId="0" borderId="91" xfId="0" applyNumberFormat="1" applyBorder="1" applyAlignment="1">
      <alignment horizontal="left" vertical="center" wrapText="1"/>
    </xf>
    <xf numFmtId="0" fontId="3" fillId="0" borderId="10" xfId="0" applyFont="1" applyBorder="1" applyAlignment="1">
      <alignment horizontal="center" vertical="center"/>
    </xf>
    <xf numFmtId="0" fontId="3" fillId="0" borderId="9" xfId="0" applyFont="1" applyBorder="1" applyAlignment="1">
      <alignment horizontal="center" vertical="center"/>
    </xf>
    <xf numFmtId="0" fontId="0" fillId="0" borderId="9" xfId="0" applyBorder="1" applyAlignment="1">
      <alignment horizontal="center" vertical="center"/>
    </xf>
    <xf numFmtId="0" fontId="0" fillId="0" borderId="12" xfId="0" applyBorder="1" applyAlignment="1">
      <alignment horizontal="center" vertical="center"/>
    </xf>
    <xf numFmtId="0" fontId="10" fillId="0" borderId="68" xfId="0" applyFont="1" applyBorder="1" applyAlignment="1">
      <alignment horizontal="center" vertical="center" wrapText="1"/>
    </xf>
    <xf numFmtId="0" fontId="27" fillId="0" borderId="68" xfId="0" applyFont="1" applyBorder="1" applyAlignment="1">
      <alignment horizontal="center" vertical="center" wrapText="1"/>
    </xf>
    <xf numFmtId="166" fontId="10" fillId="0" borderId="78" xfId="0" applyNumberFormat="1" applyFont="1" applyBorder="1" applyAlignment="1">
      <alignment horizontal="center" vertical="center"/>
    </xf>
    <xf numFmtId="0" fontId="10" fillId="0" borderId="78" xfId="0" applyFont="1" applyBorder="1" applyAlignment="1">
      <alignment horizontal="center" vertical="center"/>
    </xf>
    <xf numFmtId="0" fontId="10" fillId="0" borderId="59" xfId="0" applyFont="1" applyBorder="1" applyAlignment="1">
      <alignment horizontal="center" vertical="center"/>
    </xf>
    <xf numFmtId="0" fontId="10" fillId="0" borderId="82" xfId="0" applyFont="1" applyBorder="1" applyAlignment="1">
      <alignment horizontal="center" vertical="center"/>
    </xf>
    <xf numFmtId="4" fontId="3" fillId="0" borderId="87" xfId="0" applyNumberFormat="1" applyFont="1" applyBorder="1" applyAlignment="1">
      <alignment horizontal="right" vertical="center"/>
    </xf>
    <xf numFmtId="0" fontId="0" fillId="0" borderId="2" xfId="0" applyBorder="1" applyAlignment="1">
      <alignment horizontal="right" vertical="center"/>
    </xf>
    <xf numFmtId="0" fontId="3" fillId="0" borderId="66" xfId="0" applyFont="1" applyBorder="1" applyAlignment="1">
      <alignment horizontal="right" vertical="center"/>
    </xf>
    <xf numFmtId="0" fontId="11" fillId="0" borderId="67" xfId="0" applyFont="1" applyBorder="1" applyAlignment="1">
      <alignment horizontal="right" vertical="center"/>
    </xf>
    <xf numFmtId="0" fontId="0" fillId="0" borderId="65" xfId="0" applyBorder="1" applyAlignment="1">
      <alignment horizontal="right" vertical="center"/>
    </xf>
    <xf numFmtId="166" fontId="10" fillId="0" borderId="68" xfId="0" applyNumberFormat="1" applyFont="1" applyBorder="1" applyAlignment="1">
      <alignment horizontal="center" vertical="center"/>
    </xf>
    <xf numFmtId="0" fontId="10" fillId="0" borderId="68" xfId="0" applyFont="1" applyBorder="1" applyAlignment="1">
      <alignment horizontal="center" vertical="center"/>
    </xf>
    <xf numFmtId="0" fontId="10" fillId="0" borderId="66" xfId="0" applyFont="1" applyBorder="1" applyAlignment="1">
      <alignment horizontal="center" vertical="center"/>
    </xf>
    <xf numFmtId="0" fontId="10" fillId="0" borderId="84" xfId="0" applyFont="1" applyBorder="1" applyAlignment="1">
      <alignment horizontal="center" vertical="center"/>
    </xf>
    <xf numFmtId="0" fontId="10" fillId="13" borderId="78" xfId="0" applyFont="1" applyFill="1" applyBorder="1" applyAlignment="1">
      <alignment horizontal="center" vertical="center" wrapText="1"/>
    </xf>
    <xf numFmtId="0" fontId="10" fillId="13" borderId="78" xfId="0" applyFont="1" applyFill="1" applyBorder="1" applyAlignment="1">
      <alignment vertical="center" wrapText="1"/>
    </xf>
    <xf numFmtId="166" fontId="10" fillId="13" borderId="78" xfId="0" applyNumberFormat="1" applyFont="1" applyFill="1" applyBorder="1" applyAlignment="1">
      <alignment horizontal="center" vertical="center"/>
    </xf>
    <xf numFmtId="0" fontId="10" fillId="13" borderId="78" xfId="0" applyFont="1" applyFill="1" applyBorder="1" applyAlignment="1">
      <alignment horizontal="center" vertical="center"/>
    </xf>
    <xf numFmtId="0" fontId="10" fillId="13" borderId="82" xfId="0" applyFont="1" applyFill="1" applyBorder="1" applyAlignment="1">
      <alignment horizontal="center" vertical="center"/>
    </xf>
    <xf numFmtId="0" fontId="10" fillId="13" borderId="2" xfId="0" applyFont="1" applyFill="1" applyBorder="1" applyAlignment="1">
      <alignment horizontal="center" vertical="center"/>
    </xf>
    <xf numFmtId="0" fontId="10" fillId="13" borderId="91" xfId="0" applyFont="1" applyFill="1" applyBorder="1" applyAlignment="1">
      <alignment horizontal="center" vertical="center"/>
    </xf>
    <xf numFmtId="0" fontId="55" fillId="0" borderId="76" xfId="0" applyFont="1" applyBorder="1" applyAlignment="1">
      <alignment horizontal="center" vertical="center"/>
    </xf>
    <xf numFmtId="0" fontId="56" fillId="0" borderId="77" xfId="0" applyFont="1" applyBorder="1" applyAlignment="1">
      <alignment horizontal="center" vertical="center"/>
    </xf>
    <xf numFmtId="0" fontId="56" fillId="0" borderId="63" xfId="0" applyFont="1" applyBorder="1" applyAlignment="1">
      <alignment horizontal="center" vertical="center"/>
    </xf>
    <xf numFmtId="0" fontId="56" fillId="0" borderId="107" xfId="0" applyFont="1" applyBorder="1" applyAlignment="1">
      <alignment horizontal="center" vertical="center"/>
    </xf>
    <xf numFmtId="0" fontId="10" fillId="0" borderId="78" xfId="0" applyFont="1" applyBorder="1" applyAlignment="1">
      <alignment horizontal="center" vertical="center" wrapText="1"/>
    </xf>
    <xf numFmtId="0" fontId="27" fillId="0" borderId="78" xfId="0" applyFont="1" applyBorder="1" applyAlignment="1">
      <alignment horizontal="center" vertical="center" wrapText="1"/>
    </xf>
    <xf numFmtId="166" fontId="3" fillId="3" borderId="59" xfId="0" applyNumberFormat="1" applyFont="1" applyFill="1" applyBorder="1" applyAlignment="1">
      <alignment horizontal="center" vertical="center" wrapText="1"/>
    </xf>
    <xf numFmtId="166" fontId="3" fillId="3" borderId="57" xfId="0" applyNumberFormat="1" applyFont="1" applyFill="1" applyBorder="1" applyAlignment="1">
      <alignment horizontal="center" vertical="center" wrapText="1"/>
    </xf>
    <xf numFmtId="166" fontId="0" fillId="3" borderId="57" xfId="0" applyNumberFormat="1" applyFill="1" applyBorder="1" applyAlignment="1">
      <alignment horizontal="center" vertical="center" wrapText="1"/>
    </xf>
    <xf numFmtId="166" fontId="0" fillId="3" borderId="60" xfId="0" applyNumberFormat="1" applyFill="1" applyBorder="1" applyAlignment="1">
      <alignment horizontal="center" vertical="center" wrapText="1"/>
    </xf>
    <xf numFmtId="0" fontId="10" fillId="13" borderId="68" xfId="0" applyFont="1" applyFill="1" applyBorder="1" applyAlignment="1">
      <alignment horizontal="center" vertical="center" wrapText="1"/>
    </xf>
    <xf numFmtId="0" fontId="10" fillId="13" borderId="68" xfId="0" applyFont="1" applyFill="1" applyBorder="1" applyAlignment="1">
      <alignment vertical="center" wrapText="1"/>
    </xf>
    <xf numFmtId="166" fontId="10" fillId="13" borderId="68" xfId="0" applyNumberFormat="1" applyFont="1" applyFill="1" applyBorder="1" applyAlignment="1">
      <alignment horizontal="center" vertical="center"/>
    </xf>
    <xf numFmtId="0" fontId="10" fillId="13" borderId="68" xfId="0" applyFont="1" applyFill="1" applyBorder="1" applyAlignment="1">
      <alignment horizontal="center" vertical="center"/>
    </xf>
    <xf numFmtId="0" fontId="10" fillId="13" borderId="66" xfId="0" applyFont="1" applyFill="1" applyBorder="1" applyAlignment="1">
      <alignment horizontal="center" vertical="center"/>
    </xf>
    <xf numFmtId="0" fontId="10" fillId="13" borderId="84" xfId="0" applyFont="1" applyFill="1" applyBorder="1" applyAlignment="1">
      <alignment horizontal="center" vertical="center"/>
    </xf>
    <xf numFmtId="0" fontId="13" fillId="2" borderId="6" xfId="1" applyFont="1" applyFill="1" applyBorder="1" applyAlignment="1">
      <alignment horizontal="center" vertical="center" wrapText="1"/>
    </xf>
    <xf numFmtId="0" fontId="13" fillId="2" borderId="7" xfId="1" applyFont="1" applyFill="1" applyBorder="1" applyAlignment="1">
      <alignment horizontal="center" vertical="center" wrapText="1"/>
    </xf>
    <xf numFmtId="0" fontId="13" fillId="2" borderId="8" xfId="1" applyFont="1" applyFill="1" applyBorder="1" applyAlignment="1">
      <alignment horizontal="center" vertical="center" wrapText="1"/>
    </xf>
    <xf numFmtId="0" fontId="20" fillId="2" borderId="13" xfId="1" applyFont="1" applyFill="1" applyBorder="1" applyAlignment="1">
      <alignment horizontal="center" vertical="center" wrapText="1"/>
    </xf>
    <xf numFmtId="0" fontId="20" fillId="2" borderId="33" xfId="1" applyFont="1" applyFill="1" applyBorder="1" applyAlignment="1">
      <alignment horizontal="center" vertical="center" wrapText="1"/>
    </xf>
    <xf numFmtId="0" fontId="20" fillId="4" borderId="27" xfId="1" applyFont="1" applyFill="1" applyBorder="1" applyAlignment="1">
      <alignment horizontal="center" vertical="center" wrapText="1"/>
    </xf>
    <xf numFmtId="0" fontId="20" fillId="0" borderId="25" xfId="1" applyFont="1" applyFill="1" applyBorder="1" applyAlignment="1">
      <alignment horizontal="center" vertical="center" wrapText="1"/>
    </xf>
    <xf numFmtId="0" fontId="19" fillId="4" borderId="24" xfId="1" applyFont="1" applyFill="1" applyBorder="1" applyAlignment="1">
      <alignment horizontal="center" vertical="center" wrapText="1"/>
    </xf>
    <xf numFmtId="0" fontId="20" fillId="0" borderId="29" xfId="1" applyFont="1" applyFill="1" applyBorder="1" applyAlignment="1">
      <alignment horizontal="center" vertical="center" wrapText="1"/>
    </xf>
    <xf numFmtId="0" fontId="21" fillId="6" borderId="23" xfId="1" applyFont="1" applyFill="1" applyBorder="1" applyAlignment="1">
      <alignment horizontal="left" vertical="top" wrapText="1"/>
    </xf>
    <xf numFmtId="0" fontId="22" fillId="0" borderId="27" xfId="1" applyFont="1" applyFill="1" applyBorder="1" applyAlignment="1">
      <alignment horizontal="left" vertical="top" wrapText="1"/>
    </xf>
    <xf numFmtId="0" fontId="22" fillId="0" borderId="25" xfId="1" applyFont="1" applyFill="1" applyBorder="1" applyAlignment="1">
      <alignment horizontal="left" vertical="top" wrapText="1"/>
    </xf>
    <xf numFmtId="0" fontId="19" fillId="2" borderId="34" xfId="1" applyFont="1" applyFill="1" applyBorder="1" applyAlignment="1">
      <alignment horizontal="center" vertical="center" wrapText="1"/>
    </xf>
    <xf numFmtId="0" fontId="19" fillId="2" borderId="14" xfId="1" applyFont="1" applyFill="1" applyBorder="1" applyAlignment="1">
      <alignment horizontal="center" vertical="center" wrapText="1"/>
    </xf>
    <xf numFmtId="0" fontId="23" fillId="2" borderId="14" xfId="1" applyFont="1" applyFill="1" applyBorder="1" applyAlignment="1">
      <alignment horizontal="center" vertical="center" wrapText="1"/>
    </xf>
    <xf numFmtId="0" fontId="23" fillId="2" borderId="33" xfId="1" applyFont="1" applyFill="1" applyBorder="1" applyAlignment="1">
      <alignment horizontal="center" vertical="center" wrapText="1"/>
    </xf>
    <xf numFmtId="0" fontId="21" fillId="6" borderId="27" xfId="1" applyFont="1" applyFill="1" applyBorder="1" applyAlignment="1">
      <alignment horizontal="left" vertical="top" wrapText="1"/>
    </xf>
    <xf numFmtId="0" fontId="21" fillId="6" borderId="25" xfId="1" applyFont="1" applyFill="1" applyBorder="1" applyAlignment="1">
      <alignment horizontal="left" vertical="top" wrapText="1"/>
    </xf>
    <xf numFmtId="0" fontId="21" fillId="5" borderId="23" xfId="1" applyFont="1" applyFill="1" applyBorder="1" applyAlignment="1">
      <alignment horizontal="left" vertical="top" wrapText="1"/>
    </xf>
    <xf numFmtId="0" fontId="21" fillId="5" borderId="27" xfId="1" applyFont="1" applyFill="1" applyBorder="1" applyAlignment="1">
      <alignment horizontal="left" vertical="top" wrapText="1"/>
    </xf>
    <xf numFmtId="0" fontId="21" fillId="5" borderId="25" xfId="1" applyFont="1" applyFill="1" applyBorder="1" applyAlignment="1">
      <alignment horizontal="left" vertical="top" wrapText="1"/>
    </xf>
    <xf numFmtId="0" fontId="19" fillId="2" borderId="33" xfId="1" applyFont="1" applyFill="1" applyBorder="1" applyAlignment="1">
      <alignment horizontal="center" vertical="center" wrapText="1"/>
    </xf>
    <xf numFmtId="0" fontId="23" fillId="5" borderId="20" xfId="1" applyFont="1" applyFill="1" applyBorder="1" applyAlignment="1">
      <alignment horizontal="center" vertical="center" wrapText="1"/>
    </xf>
    <xf numFmtId="0" fontId="23" fillId="5" borderId="21" xfId="1" applyFont="1" applyFill="1" applyBorder="1" applyAlignment="1">
      <alignment horizontal="center" vertical="center" wrapText="1"/>
    </xf>
    <xf numFmtId="0" fontId="19" fillId="2" borderId="15" xfId="1" applyFont="1" applyFill="1" applyBorder="1" applyAlignment="1">
      <alignment horizontal="center" vertical="center" wrapText="1"/>
    </xf>
    <xf numFmtId="0" fontId="19" fillId="2" borderId="13" xfId="1" applyFont="1" applyFill="1" applyBorder="1" applyAlignment="1">
      <alignment horizontal="center" vertical="center" wrapText="1"/>
    </xf>
    <xf numFmtId="0" fontId="19" fillId="2" borderId="14" xfId="0" applyFont="1" applyFill="1" applyBorder="1" applyAlignment="1">
      <alignment horizontal="center" vertical="center" wrapText="1"/>
    </xf>
    <xf numFmtId="0" fontId="19" fillId="2" borderId="33" xfId="0" applyFont="1" applyFill="1" applyBorder="1" applyAlignment="1">
      <alignment horizontal="center" vertical="center" wrapText="1"/>
    </xf>
    <xf numFmtId="0" fontId="21" fillId="5" borderId="28" xfId="1" applyFont="1" applyFill="1" applyBorder="1" applyAlignment="1">
      <alignment horizontal="left" vertical="center" wrapText="1"/>
    </xf>
    <xf numFmtId="0" fontId="21" fillId="5" borderId="0" xfId="1" applyFont="1" applyFill="1" applyBorder="1" applyAlignment="1">
      <alignment horizontal="left" vertical="center" wrapText="1"/>
    </xf>
    <xf numFmtId="0" fontId="21" fillId="6" borderId="28" xfId="1" applyFont="1" applyFill="1" applyBorder="1" applyAlignment="1">
      <alignment horizontal="left" vertical="top" wrapText="1"/>
    </xf>
    <xf numFmtId="0" fontId="21" fillId="6" borderId="0" xfId="1" applyFont="1" applyFill="1" applyBorder="1" applyAlignment="1">
      <alignment horizontal="left" vertical="top" wrapText="1"/>
    </xf>
    <xf numFmtId="0" fontId="21" fillId="6" borderId="29" xfId="1" applyFont="1" applyFill="1" applyBorder="1" applyAlignment="1">
      <alignment horizontal="left" vertical="top" wrapText="1"/>
    </xf>
    <xf numFmtId="0" fontId="19" fillId="2" borderId="34" xfId="1" applyFont="1" applyFill="1" applyBorder="1" applyAlignment="1">
      <alignment horizontal="left" vertical="center" wrapText="1" indent="1"/>
    </xf>
    <xf numFmtId="0" fontId="19" fillId="2" borderId="14" xfId="1" applyFont="1" applyFill="1" applyBorder="1" applyAlignment="1">
      <alignment horizontal="left" vertical="center" wrapText="1" indent="1"/>
    </xf>
    <xf numFmtId="0" fontId="0" fillId="2" borderId="14" xfId="0" applyFill="1" applyBorder="1" applyAlignment="1">
      <alignment horizontal="left" wrapText="1"/>
    </xf>
    <xf numFmtId="0" fontId="0" fillId="2" borderId="15" xfId="0" applyFill="1" applyBorder="1" applyAlignment="1">
      <alignment horizontal="left" wrapText="1"/>
    </xf>
    <xf numFmtId="0" fontId="23" fillId="6" borderId="20" xfId="1" applyFont="1" applyFill="1" applyBorder="1" applyAlignment="1">
      <alignment horizontal="center" vertical="center" wrapText="1"/>
    </xf>
    <xf numFmtId="0" fontId="23" fillId="6" borderId="21" xfId="1" applyFont="1" applyFill="1" applyBorder="1" applyAlignment="1">
      <alignment horizontal="center" vertical="center" wrapText="1"/>
    </xf>
  </cellXfs>
  <cellStyles count="4">
    <cellStyle name="Normale" xfId="0" builtinId="0"/>
    <cellStyle name="Normale 2" xfId="1" xr:uid="{00000000-0005-0000-0000-000001000000}"/>
    <cellStyle name="Normale 3" xfId="3" xr:uid="{00000000-0005-0000-0000-000002000000}"/>
    <cellStyle name="Percentuale" xfId="2" builtinId="5"/>
  </cellStyles>
  <dxfs count="9">
    <dxf>
      <font>
        <strike val="0"/>
        <color theme="0" tint="-0.14996795556505021"/>
      </font>
    </dxf>
    <dxf>
      <font>
        <strike val="0"/>
        <color theme="0" tint="-0.14996795556505021"/>
      </font>
    </dxf>
    <dxf>
      <font>
        <strike val="0"/>
        <color theme="0" tint="-0.14996795556505021"/>
      </font>
    </dxf>
    <dxf>
      <fill>
        <patternFill>
          <bgColor theme="0" tint="-0.14996795556505021"/>
        </patternFill>
      </fill>
    </dxf>
    <dxf>
      <font>
        <strike val="0"/>
        <color theme="0" tint="-0.14996795556505021"/>
      </font>
    </dxf>
    <dxf>
      <font>
        <strike val="0"/>
        <color theme="0" tint="-0.14996795556505021"/>
      </font>
    </dxf>
    <dxf>
      <fill>
        <patternFill>
          <bgColor theme="0" tint="-0.14996795556505021"/>
        </patternFill>
      </fill>
    </dxf>
    <dxf>
      <font>
        <strike val="0"/>
        <color theme="0" tint="-0.14996795556505021"/>
      </font>
    </dxf>
    <dxf>
      <fill>
        <patternFill>
          <bgColor theme="0" tint="-0.14996795556505021"/>
        </patternFill>
      </fill>
    </dxf>
  </dxfs>
  <tableStyles count="0" defaultTableStyle="TableStyleMedium2" defaultPivotStyle="PivotStyleLight16"/>
  <colors>
    <mruColors>
      <color rgb="FFCCFFFF"/>
      <color rgb="FFFF3300"/>
      <color rgb="FFFF6600"/>
      <color rgb="FF00FFFF"/>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hyperlink" Target="#'LINEE GUIDA CCT'!A1"/><Relationship Id="rId2" Type="http://schemas.openxmlformats.org/officeDocument/2006/relationships/hyperlink" Target="#RIEPILOGO!A1"/><Relationship Id="rId1" Type="http://schemas.openxmlformats.org/officeDocument/2006/relationships/hyperlink" Target="#'Tabella-Z1'!A1"/><Relationship Id="rId5" Type="http://schemas.openxmlformats.org/officeDocument/2006/relationships/hyperlink" Target="#'DM 10_03_2014 n.55 '!A1"/><Relationship Id="rId4" Type="http://schemas.openxmlformats.org/officeDocument/2006/relationships/hyperlink" Target="#'DM 17_06_2016'!A1"/></Relationships>
</file>

<file path=xl/drawings/_rels/vmlDrawing2.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2</xdr:col>
      <xdr:colOff>183696</xdr:colOff>
      <xdr:row>13</xdr:row>
      <xdr:rowOff>1690687</xdr:rowOff>
    </xdr:from>
    <xdr:to>
      <xdr:col>5</xdr:col>
      <xdr:colOff>1666875</xdr:colOff>
      <xdr:row>13</xdr:row>
      <xdr:rowOff>2075089</xdr:rowOff>
    </xdr:to>
    <xdr:sp macro="" textlink="">
      <xdr:nvSpPr>
        <xdr:cNvPr id="2" name="CasellaDiTesto 1">
          <a:hlinkClick xmlns:r="http://schemas.openxmlformats.org/officeDocument/2006/relationships" r:id="rId1"/>
          <a:extLst>
            <a:ext uri="{FF2B5EF4-FFF2-40B4-BE49-F238E27FC236}">
              <a16:creationId xmlns:a16="http://schemas.microsoft.com/office/drawing/2014/main" id="{00000000-0008-0000-0000-000002000000}"/>
            </a:ext>
          </a:extLst>
        </xdr:cNvPr>
        <xdr:cNvSpPr txBox="1"/>
      </xdr:nvSpPr>
      <xdr:spPr>
        <a:xfrm>
          <a:off x="1886290" y="8917781"/>
          <a:ext cx="5745616" cy="384402"/>
        </a:xfrm>
        <a:prstGeom prst="rect">
          <a:avLst/>
        </a:prstGeom>
        <a:solidFill>
          <a:schemeClr val="accent1">
            <a:lumMod val="20000"/>
            <a:lumOff val="80000"/>
          </a:schemeClr>
        </a:solidFill>
        <a:ln w="25400" cap="flat" cmpd="sng">
          <a:solidFill>
            <a:srgbClr val="0070C0"/>
          </a:solidFill>
        </a:ln>
        <a:effectLst>
          <a:outerShdw blurRad="50800" dist="762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it-IT" sz="1400" b="1">
              <a:solidFill>
                <a:schemeClr val="tx2"/>
              </a:solidFill>
              <a:latin typeface="Verdana" panose="020B0604030504040204" pitchFamily="34" charset="0"/>
              <a:ea typeface="Verdana" panose="020B0604030504040204" pitchFamily="34" charset="0"/>
            </a:rPr>
            <a:t>VAI</a:t>
          </a:r>
          <a:r>
            <a:rPr lang="it-IT" sz="1400" b="1" baseline="0">
              <a:solidFill>
                <a:schemeClr val="tx2"/>
              </a:solidFill>
              <a:latin typeface="Verdana" panose="020B0604030504040204" pitchFamily="34" charset="0"/>
              <a:ea typeface="Verdana" panose="020B0604030504040204" pitchFamily="34" charset="0"/>
            </a:rPr>
            <a:t> ALLA TABELLA Z-1</a:t>
          </a:r>
          <a:endParaRPr lang="it-IT" sz="1400" b="1">
            <a:solidFill>
              <a:schemeClr val="tx2"/>
            </a:solidFill>
            <a:latin typeface="Verdana" panose="020B0604030504040204" pitchFamily="34" charset="0"/>
            <a:ea typeface="Verdana" panose="020B0604030504040204" pitchFamily="34" charset="0"/>
          </a:endParaRPr>
        </a:p>
      </xdr:txBody>
    </xdr:sp>
    <xdr:clientData/>
  </xdr:twoCellAnchor>
  <xdr:twoCellAnchor>
    <xdr:from>
      <xdr:col>13</xdr:col>
      <xdr:colOff>15874</xdr:colOff>
      <xdr:row>57</xdr:row>
      <xdr:rowOff>124733</xdr:rowOff>
    </xdr:from>
    <xdr:to>
      <xdr:col>17</xdr:col>
      <xdr:colOff>1269999</xdr:colOff>
      <xdr:row>57</xdr:row>
      <xdr:rowOff>587375</xdr:rowOff>
    </xdr:to>
    <xdr:sp macro="" textlink="">
      <xdr:nvSpPr>
        <xdr:cNvPr id="3" name="CasellaDiTesto 2">
          <a:hlinkClick xmlns:r="http://schemas.openxmlformats.org/officeDocument/2006/relationships" r:id="rId2"/>
          <a:extLst>
            <a:ext uri="{FF2B5EF4-FFF2-40B4-BE49-F238E27FC236}">
              <a16:creationId xmlns:a16="http://schemas.microsoft.com/office/drawing/2014/main" id="{00000000-0008-0000-0000-000003000000}"/>
            </a:ext>
          </a:extLst>
        </xdr:cNvPr>
        <xdr:cNvSpPr txBox="1"/>
      </xdr:nvSpPr>
      <xdr:spPr>
        <a:xfrm>
          <a:off x="16446499" y="25731108"/>
          <a:ext cx="6778625" cy="462642"/>
        </a:xfrm>
        <a:prstGeom prst="rect">
          <a:avLst/>
        </a:prstGeom>
        <a:solidFill>
          <a:schemeClr val="accent1">
            <a:lumMod val="20000"/>
            <a:lumOff val="80000"/>
          </a:schemeClr>
        </a:solidFill>
        <a:ln w="28575" cmpd="sng">
          <a:solidFill>
            <a:schemeClr val="tx2"/>
          </a:solidFill>
        </a:ln>
        <a:effectLst>
          <a:outerShdw blurRad="50800" dist="76200" dir="2700000" algn="tl" rotWithShape="0">
            <a:schemeClr val="tx1">
              <a:alpha val="40000"/>
            </a:scheme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it-IT" sz="1400" b="1">
              <a:latin typeface="Verdana" panose="020B0604030504040204" pitchFamily="34" charset="0"/>
              <a:ea typeface="Verdana" panose="020B0604030504040204" pitchFamily="34" charset="0"/>
            </a:rPr>
            <a:t>VAI</a:t>
          </a:r>
          <a:r>
            <a:rPr lang="it-IT" sz="1400" b="1" baseline="0">
              <a:latin typeface="Verdana" panose="020B0604030504040204" pitchFamily="34" charset="0"/>
              <a:ea typeface="Verdana" panose="020B0604030504040204" pitchFamily="34" charset="0"/>
            </a:rPr>
            <a:t> ALLA SCHEDA DI RIEPILOGO</a:t>
          </a:r>
        </a:p>
        <a:p>
          <a:pPr algn="ctr"/>
          <a:endParaRPr lang="it-IT" sz="1100"/>
        </a:p>
      </xdr:txBody>
    </xdr:sp>
    <xdr:clientData/>
  </xdr:twoCellAnchor>
  <xdr:twoCellAnchor>
    <xdr:from>
      <xdr:col>11</xdr:col>
      <xdr:colOff>571499</xdr:colOff>
      <xdr:row>57</xdr:row>
      <xdr:rowOff>238124</xdr:rowOff>
    </xdr:from>
    <xdr:to>
      <xdr:col>12</xdr:col>
      <xdr:colOff>1238249</xdr:colOff>
      <xdr:row>57</xdr:row>
      <xdr:rowOff>539749</xdr:rowOff>
    </xdr:to>
    <xdr:sp macro="" textlink="">
      <xdr:nvSpPr>
        <xdr:cNvPr id="4" name="Freccia a destra 3">
          <a:extLst>
            <a:ext uri="{FF2B5EF4-FFF2-40B4-BE49-F238E27FC236}">
              <a16:creationId xmlns:a16="http://schemas.microsoft.com/office/drawing/2014/main" id="{00000000-0008-0000-0000-000004000000}"/>
            </a:ext>
          </a:extLst>
        </xdr:cNvPr>
        <xdr:cNvSpPr/>
      </xdr:nvSpPr>
      <xdr:spPr>
        <a:xfrm>
          <a:off x="14239874" y="25844499"/>
          <a:ext cx="2047875" cy="301625"/>
        </a:xfrm>
        <a:prstGeom prst="rightArrow">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it-IT" sz="1100"/>
        </a:p>
      </xdr:txBody>
    </xdr:sp>
    <xdr:clientData/>
  </xdr:twoCellAnchor>
  <xdr:twoCellAnchor>
    <xdr:from>
      <xdr:col>13</xdr:col>
      <xdr:colOff>231321</xdr:colOff>
      <xdr:row>1</xdr:row>
      <xdr:rowOff>95250</xdr:rowOff>
    </xdr:from>
    <xdr:to>
      <xdr:col>17</xdr:col>
      <xdr:colOff>1224643</xdr:colOff>
      <xdr:row>1</xdr:row>
      <xdr:rowOff>544286</xdr:rowOff>
    </xdr:to>
    <xdr:sp macro="" textlink="">
      <xdr:nvSpPr>
        <xdr:cNvPr id="5" name="CasellaDiTesto 4">
          <a:hlinkClick xmlns:r="http://schemas.openxmlformats.org/officeDocument/2006/relationships" r:id="rId3"/>
          <a:extLst>
            <a:ext uri="{FF2B5EF4-FFF2-40B4-BE49-F238E27FC236}">
              <a16:creationId xmlns:a16="http://schemas.microsoft.com/office/drawing/2014/main" id="{00000000-0008-0000-0000-000005000000}"/>
            </a:ext>
          </a:extLst>
        </xdr:cNvPr>
        <xdr:cNvSpPr txBox="1"/>
      </xdr:nvSpPr>
      <xdr:spPr>
        <a:xfrm>
          <a:off x="16709571" y="95250"/>
          <a:ext cx="6545036" cy="449036"/>
        </a:xfrm>
        <a:prstGeom prst="rect">
          <a:avLst/>
        </a:prstGeom>
        <a:solidFill>
          <a:schemeClr val="accent1">
            <a:lumMod val="20000"/>
            <a:lumOff val="80000"/>
          </a:schemeClr>
        </a:solidFill>
        <a:ln w="25400" cmpd="sng">
          <a:solidFill>
            <a:schemeClr val="accent1"/>
          </a:solidFill>
        </a:ln>
        <a:effectLst>
          <a:outerShdw blurRad="50800" dist="508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it-IT" sz="1400" b="1">
              <a:solidFill>
                <a:srgbClr val="FF0000"/>
              </a:solidFill>
              <a:effectLst/>
              <a:latin typeface="Verdana" panose="020B0604030504040204" pitchFamily="34" charset="0"/>
              <a:ea typeface="Verdana" panose="020B0604030504040204" pitchFamily="34" charset="0"/>
              <a:cs typeface="+mn-cs"/>
            </a:rPr>
            <a:t>VAI</a:t>
          </a:r>
          <a:r>
            <a:rPr lang="it-IT" sz="1400" b="1" baseline="0">
              <a:solidFill>
                <a:srgbClr val="FF0000"/>
              </a:solidFill>
              <a:effectLst/>
              <a:latin typeface="Verdana" panose="020B0604030504040204" pitchFamily="34" charset="0"/>
              <a:ea typeface="Verdana" panose="020B0604030504040204" pitchFamily="34" charset="0"/>
              <a:cs typeface="+mn-cs"/>
            </a:rPr>
            <a:t> ALLE LINEE GUIDA DEL CONSIGLIO SUPERIORE DEI LLPP</a:t>
          </a:r>
          <a:endParaRPr lang="it-IT" sz="1400" b="1">
            <a:solidFill>
              <a:srgbClr val="FF0000"/>
            </a:solidFill>
            <a:effectLst/>
            <a:latin typeface="Verdana" panose="020B0604030504040204" pitchFamily="34" charset="0"/>
            <a:ea typeface="Verdana" panose="020B0604030504040204" pitchFamily="34" charset="0"/>
          </a:endParaRPr>
        </a:p>
        <a:p>
          <a:endParaRPr lang="it-IT" sz="1100"/>
        </a:p>
      </xdr:txBody>
    </xdr:sp>
    <xdr:clientData/>
  </xdr:twoCellAnchor>
  <xdr:twoCellAnchor>
    <xdr:from>
      <xdr:col>13</xdr:col>
      <xdr:colOff>222250</xdr:colOff>
      <xdr:row>1</xdr:row>
      <xdr:rowOff>612775</xdr:rowOff>
    </xdr:from>
    <xdr:to>
      <xdr:col>17</xdr:col>
      <xdr:colOff>1206500</xdr:colOff>
      <xdr:row>1</xdr:row>
      <xdr:rowOff>1057275</xdr:rowOff>
    </xdr:to>
    <xdr:sp macro="" textlink="">
      <xdr:nvSpPr>
        <xdr:cNvPr id="6" name="CasellaDiTesto 5">
          <a:hlinkClick xmlns:r="http://schemas.openxmlformats.org/officeDocument/2006/relationships" r:id="rId4"/>
          <a:extLst>
            <a:ext uri="{FF2B5EF4-FFF2-40B4-BE49-F238E27FC236}">
              <a16:creationId xmlns:a16="http://schemas.microsoft.com/office/drawing/2014/main" id="{00000000-0008-0000-0000-000006000000}"/>
            </a:ext>
          </a:extLst>
        </xdr:cNvPr>
        <xdr:cNvSpPr txBox="1"/>
      </xdr:nvSpPr>
      <xdr:spPr>
        <a:xfrm>
          <a:off x="16633825" y="612775"/>
          <a:ext cx="6508750" cy="444500"/>
        </a:xfrm>
        <a:prstGeom prst="rect">
          <a:avLst/>
        </a:prstGeom>
        <a:solidFill>
          <a:schemeClr val="accent1">
            <a:lumMod val="20000"/>
            <a:lumOff val="80000"/>
          </a:schemeClr>
        </a:solidFill>
        <a:ln w="25400" cmpd="sng">
          <a:solidFill>
            <a:schemeClr val="accent1"/>
          </a:solidFill>
        </a:ln>
        <a:effectLst>
          <a:outerShdw blurRad="50800" dist="508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it-IT" sz="1400" b="1">
              <a:latin typeface="Verdana" panose="020B0604030504040204" pitchFamily="34" charset="0"/>
              <a:ea typeface="Verdana" panose="020B0604030504040204" pitchFamily="34" charset="0"/>
            </a:rPr>
            <a:t>VAI</a:t>
          </a:r>
          <a:r>
            <a:rPr lang="it-IT" sz="1400" b="1" baseline="0">
              <a:latin typeface="Verdana" panose="020B0604030504040204" pitchFamily="34" charset="0"/>
              <a:ea typeface="Verdana" panose="020B0604030504040204" pitchFamily="34" charset="0"/>
            </a:rPr>
            <a:t> AL D.M. GIUSTIZIA 17/06/2016</a:t>
          </a:r>
          <a:endParaRPr lang="it-IT" sz="1400" b="1">
            <a:latin typeface="Verdana" panose="020B0604030504040204" pitchFamily="34" charset="0"/>
            <a:ea typeface="Verdana" panose="020B0604030504040204" pitchFamily="34" charset="0"/>
          </a:endParaRPr>
        </a:p>
      </xdr:txBody>
    </xdr:sp>
    <xdr:clientData/>
  </xdr:twoCellAnchor>
  <xdr:twoCellAnchor>
    <xdr:from>
      <xdr:col>13</xdr:col>
      <xdr:colOff>222250</xdr:colOff>
      <xdr:row>1</xdr:row>
      <xdr:rowOff>1158875</xdr:rowOff>
    </xdr:from>
    <xdr:to>
      <xdr:col>17</xdr:col>
      <xdr:colOff>1209675</xdr:colOff>
      <xdr:row>1</xdr:row>
      <xdr:rowOff>1603375</xdr:rowOff>
    </xdr:to>
    <xdr:sp macro="" textlink="">
      <xdr:nvSpPr>
        <xdr:cNvPr id="12" name="CasellaDiTesto 11">
          <a:hlinkClick xmlns:r="http://schemas.openxmlformats.org/officeDocument/2006/relationships" r:id="rId5"/>
          <a:extLst>
            <a:ext uri="{FF2B5EF4-FFF2-40B4-BE49-F238E27FC236}">
              <a16:creationId xmlns:a16="http://schemas.microsoft.com/office/drawing/2014/main" id="{00000000-0008-0000-0000-00000C000000}"/>
            </a:ext>
          </a:extLst>
        </xdr:cNvPr>
        <xdr:cNvSpPr txBox="1"/>
      </xdr:nvSpPr>
      <xdr:spPr>
        <a:xfrm>
          <a:off x="16633825" y="1158875"/>
          <a:ext cx="6511925" cy="444500"/>
        </a:xfrm>
        <a:prstGeom prst="rect">
          <a:avLst/>
        </a:prstGeom>
        <a:solidFill>
          <a:schemeClr val="accent1">
            <a:lumMod val="20000"/>
            <a:lumOff val="80000"/>
          </a:schemeClr>
        </a:solidFill>
        <a:ln w="25400" cmpd="sng">
          <a:solidFill>
            <a:schemeClr val="accent1"/>
          </a:solidFill>
        </a:ln>
        <a:effectLst>
          <a:outerShdw blurRad="50800" dist="508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it-IT" sz="1400" b="1">
              <a:latin typeface="Verdana" panose="020B0604030504040204" pitchFamily="34" charset="0"/>
              <a:ea typeface="Verdana" panose="020B0604030504040204" pitchFamily="34" charset="0"/>
            </a:rPr>
            <a:t>VAI AL DM GIUSTIZIA 10/03/2014</a:t>
          </a:r>
          <a:r>
            <a:rPr lang="it-IT" sz="1400" b="1" baseline="0">
              <a:latin typeface="Verdana" panose="020B0604030504040204" pitchFamily="34" charset="0"/>
              <a:ea typeface="Verdana" panose="020B0604030504040204" pitchFamily="34" charset="0"/>
            </a:rPr>
            <a:t> n. 55</a:t>
          </a:r>
          <a:endParaRPr lang="it-IT" sz="1400" b="1">
            <a:latin typeface="Verdana" panose="020B0604030504040204" pitchFamily="34" charset="0"/>
            <a:ea typeface="Verdana" panose="020B060403050404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45720</xdr:colOff>
          <xdr:row>0</xdr:row>
          <xdr:rowOff>7620</xdr:rowOff>
        </xdr:from>
        <xdr:to>
          <xdr:col>5</xdr:col>
          <xdr:colOff>579120</xdr:colOff>
          <xdr:row>29</xdr:row>
          <xdr:rowOff>152400</xdr:rowOff>
        </xdr:to>
        <xdr:sp macro="" textlink="">
          <xdr:nvSpPr>
            <xdr:cNvPr id="4097" name="Object 1" hidden="1">
              <a:extLst>
                <a:ext uri="{63B3BB69-23CF-44E3-9099-C40C66FF867C}">
                  <a14:compatExt spid="_x0000_s4097"/>
                </a:ext>
                <a:ext uri="{FF2B5EF4-FFF2-40B4-BE49-F238E27FC236}">
                  <a16:creationId xmlns:a16="http://schemas.microsoft.com/office/drawing/2014/main" id="{00000000-0008-0000-0300-0000011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9</xdr:col>
          <xdr:colOff>182880</xdr:colOff>
          <xdr:row>49</xdr:row>
          <xdr:rowOff>83820</xdr:rowOff>
        </xdr:to>
        <xdr:sp macro="" textlink="">
          <xdr:nvSpPr>
            <xdr:cNvPr id="5125" name="Object 5" hidden="1">
              <a:extLst>
                <a:ext uri="{63B3BB69-23CF-44E3-9099-C40C66FF867C}">
                  <a14:compatExt spid="_x0000_s5125"/>
                </a:ext>
                <a:ext uri="{FF2B5EF4-FFF2-40B4-BE49-F238E27FC236}">
                  <a16:creationId xmlns:a16="http://schemas.microsoft.com/office/drawing/2014/main" id="{00000000-0008-0000-0400-0000051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22860</xdr:rowOff>
        </xdr:from>
        <xdr:to>
          <xdr:col>9</xdr:col>
          <xdr:colOff>182880</xdr:colOff>
          <xdr:row>49</xdr:row>
          <xdr:rowOff>106680</xdr:rowOff>
        </xdr:to>
        <xdr:sp macro="" textlink="">
          <xdr:nvSpPr>
            <xdr:cNvPr id="8193" name="Object 1" hidden="1">
              <a:extLst>
                <a:ext uri="{63B3BB69-23CF-44E3-9099-C40C66FF867C}">
                  <a14:compatExt spid="_x0000_s8193"/>
                </a:ext>
                <a:ext uri="{FF2B5EF4-FFF2-40B4-BE49-F238E27FC236}">
                  <a16:creationId xmlns:a16="http://schemas.microsoft.com/office/drawing/2014/main" id="{00000000-0008-0000-0500-0000012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persons/person.xml><?xml version="1.0" encoding="utf-8"?>
<personList xmlns="http://schemas.microsoft.com/office/spreadsheetml/2018/threadedcomments" xmlns:x="http://schemas.openxmlformats.org/spreadsheetml/2006/main">
  <person displayName="Sergio Minotti" id="{B140A480-E0A2-40FC-AF7A-F3307A9C8983}" userId="f4db87cd3f5eda52" providerId="Windows Live"/>
</personList>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C21" dT="2021-01-30T17:24:26.31" personId="{B140A480-E0A2-40FC-AF7A-F3307A9C8983}" id="{09B077D1-92E8-4903-903B-668E115EA779}">
    <text>6.2.2. Per i lavori in corso di esecuzione alla data di pubblicazione del DL76, qualora l’avanzamento dei lavori
eseguiti e contabilizzati sia superiore al 50% dell’importo di contratto, il gettone unico onnicomprensivo per
ciascun componente è ridotto del 30%.</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5" Type="http://schemas.openxmlformats.org/officeDocument/2006/relationships/image" Target="../media/image2.emf"/><Relationship Id="rId4" Type="http://schemas.openxmlformats.org/officeDocument/2006/relationships/oleObject" Target="../embeddings/oleObject2.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 Id="rId5" Type="http://schemas.openxmlformats.org/officeDocument/2006/relationships/image" Target="../media/image3.emf"/><Relationship Id="rId4" Type="http://schemas.openxmlformats.org/officeDocument/2006/relationships/oleObject" Target="../embeddings/oleObject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EEEE24-11CD-4F3D-AA36-76E670890FDB}">
  <sheetPr>
    <pageSetUpPr fitToPage="1"/>
  </sheetPr>
  <dimension ref="A1:AW159"/>
  <sheetViews>
    <sheetView tabSelected="1" topLeftCell="A2" zoomScale="59" zoomScaleNormal="59" workbookViewId="0">
      <selection activeCell="I13" sqref="I13"/>
    </sheetView>
  </sheetViews>
  <sheetFormatPr defaultColWidth="9.109375" defaultRowHeight="13.2" outlineLevelRow="1"/>
  <cols>
    <col min="1" max="1" width="3" style="81" bestFit="1" customWidth="1"/>
    <col min="2" max="2" width="22.5546875" style="87" customWidth="1"/>
    <col min="3" max="3" width="12.109375" style="87" customWidth="1"/>
    <col min="4" max="4" width="36.5546875" style="81" customWidth="1"/>
    <col min="5" max="5" width="20.6640625" style="81" customWidth="1"/>
    <col min="6" max="6" width="31.88671875" style="81" customWidth="1"/>
    <col min="7" max="7" width="31.109375" style="80" bestFit="1" customWidth="1"/>
    <col min="8" max="8" width="22" style="80" hidden="1" customWidth="1"/>
    <col min="9" max="18" width="20.6640625" style="81" customWidth="1"/>
    <col min="19" max="19" width="21.88671875" style="81" hidden="1" customWidth="1"/>
    <col min="20" max="64" width="10.6640625" style="81" customWidth="1"/>
    <col min="65" max="16384" width="9.109375" style="81"/>
  </cols>
  <sheetData>
    <row r="1" spans="1:49" ht="12.75" hidden="1" customHeight="1">
      <c r="A1" s="208"/>
      <c r="B1" s="209"/>
      <c r="C1" s="210"/>
      <c r="D1" s="210"/>
      <c r="E1" s="210"/>
      <c r="F1" s="210"/>
      <c r="G1" s="210"/>
      <c r="H1" s="210"/>
      <c r="I1" s="210"/>
      <c r="J1" s="210"/>
      <c r="K1" s="210"/>
      <c r="L1" s="210"/>
      <c r="M1" s="210"/>
      <c r="N1" s="210"/>
      <c r="O1" s="211"/>
      <c r="P1" s="211"/>
      <c r="Q1" s="212"/>
      <c r="R1" s="213"/>
    </row>
    <row r="2" spans="1:49" ht="134.25" customHeight="1" thickBot="1">
      <c r="A2" s="585" t="s">
        <v>338</v>
      </c>
      <c r="B2" s="586"/>
      <c r="C2" s="586"/>
      <c r="D2" s="586"/>
      <c r="E2" s="586"/>
      <c r="F2" s="586"/>
      <c r="G2" s="586"/>
      <c r="H2" s="586"/>
      <c r="I2" s="586"/>
      <c r="J2" s="586"/>
      <c r="K2" s="586"/>
      <c r="L2" s="586"/>
      <c r="M2" s="586"/>
      <c r="N2" s="587"/>
      <c r="O2" s="586"/>
      <c r="P2" s="586"/>
      <c r="Q2" s="586"/>
      <c r="R2" s="588"/>
      <c r="S2" s="1"/>
    </row>
    <row r="3" spans="1:49" s="164" customFormat="1" ht="30" customHeight="1">
      <c r="A3" s="338" t="s">
        <v>377</v>
      </c>
      <c r="B3" s="339"/>
      <c r="C3" s="339"/>
      <c r="D3" s="340"/>
      <c r="E3" s="344" t="s">
        <v>387</v>
      </c>
      <c r="F3" s="345"/>
      <c r="G3" s="346"/>
      <c r="H3" s="236"/>
      <c r="I3" s="323" t="s">
        <v>453</v>
      </c>
      <c r="J3" s="324"/>
      <c r="K3" s="324"/>
      <c r="L3" s="324"/>
      <c r="M3" s="324"/>
      <c r="N3" s="324"/>
      <c r="O3" s="324"/>
      <c r="P3" s="324"/>
      <c r="Q3" s="325"/>
      <c r="R3" s="326"/>
      <c r="S3" s="163"/>
    </row>
    <row r="4" spans="1:49" s="164" customFormat="1" ht="30" customHeight="1">
      <c r="A4" s="341" t="s">
        <v>294</v>
      </c>
      <c r="B4" s="342"/>
      <c r="C4" s="342"/>
      <c r="D4" s="343"/>
      <c r="E4" s="347"/>
      <c r="F4" s="348"/>
      <c r="G4" s="349"/>
      <c r="H4" s="235"/>
      <c r="I4" s="327"/>
      <c r="J4" s="327"/>
      <c r="K4" s="327"/>
      <c r="L4" s="327"/>
      <c r="M4" s="327"/>
      <c r="N4" s="327"/>
      <c r="O4" s="327"/>
      <c r="P4" s="327"/>
      <c r="Q4" s="327"/>
      <c r="R4" s="328"/>
      <c r="S4" s="163"/>
    </row>
    <row r="5" spans="1:49" ht="60" customHeight="1">
      <c r="A5" s="331" t="s">
        <v>482</v>
      </c>
      <c r="B5" s="332"/>
      <c r="C5" s="332"/>
      <c r="D5" s="333"/>
      <c r="E5" s="315" t="s">
        <v>373</v>
      </c>
      <c r="F5" s="316"/>
      <c r="G5" s="316"/>
      <c r="H5" s="220"/>
      <c r="I5" s="317" t="s">
        <v>454</v>
      </c>
      <c r="J5" s="318"/>
      <c r="K5" s="318"/>
      <c r="L5" s="318"/>
      <c r="M5" s="318"/>
      <c r="N5" s="318"/>
      <c r="O5" s="318"/>
      <c r="P5" s="318"/>
      <c r="Q5" s="319"/>
      <c r="R5" s="320"/>
      <c r="S5" s="1"/>
    </row>
    <row r="6" spans="1:49" ht="60" customHeight="1">
      <c r="A6" s="331"/>
      <c r="B6" s="332"/>
      <c r="C6" s="332"/>
      <c r="D6" s="333"/>
      <c r="E6" s="315" t="s">
        <v>430</v>
      </c>
      <c r="F6" s="316"/>
      <c r="G6" s="316"/>
      <c r="H6" s="220"/>
      <c r="I6" s="317" t="s">
        <v>455</v>
      </c>
      <c r="J6" s="318"/>
      <c r="K6" s="318"/>
      <c r="L6" s="318"/>
      <c r="M6" s="318"/>
      <c r="N6" s="318"/>
      <c r="O6" s="318"/>
      <c r="P6" s="318"/>
      <c r="Q6" s="319"/>
      <c r="R6" s="320"/>
      <c r="S6" s="1"/>
    </row>
    <row r="7" spans="1:49" ht="60" customHeight="1">
      <c r="A7" s="334"/>
      <c r="B7" s="332"/>
      <c r="C7" s="332"/>
      <c r="D7" s="333"/>
      <c r="E7" s="321" t="s">
        <v>375</v>
      </c>
      <c r="F7" s="322"/>
      <c r="G7" s="322"/>
      <c r="H7" s="220"/>
      <c r="I7" s="317" t="s">
        <v>456</v>
      </c>
      <c r="J7" s="318"/>
      <c r="K7" s="318"/>
      <c r="L7" s="318"/>
      <c r="M7" s="318"/>
      <c r="N7" s="318"/>
      <c r="O7" s="318"/>
      <c r="P7" s="318"/>
      <c r="Q7" s="319"/>
      <c r="R7" s="320"/>
      <c r="S7" s="1"/>
    </row>
    <row r="8" spans="1:49" ht="60" customHeight="1">
      <c r="A8" s="334"/>
      <c r="B8" s="332"/>
      <c r="C8" s="332"/>
      <c r="D8" s="333"/>
      <c r="E8" s="321" t="s">
        <v>376</v>
      </c>
      <c r="F8" s="322"/>
      <c r="G8" s="322"/>
      <c r="H8" s="297"/>
      <c r="I8" s="317" t="s">
        <v>457</v>
      </c>
      <c r="J8" s="318"/>
      <c r="K8" s="318"/>
      <c r="L8" s="318"/>
      <c r="M8" s="318"/>
      <c r="N8" s="318"/>
      <c r="O8" s="318"/>
      <c r="P8" s="318"/>
      <c r="Q8" s="319"/>
      <c r="R8" s="320"/>
      <c r="S8" s="1"/>
    </row>
    <row r="9" spans="1:49" ht="60" customHeight="1" thickBot="1">
      <c r="A9" s="335"/>
      <c r="B9" s="336"/>
      <c r="C9" s="336"/>
      <c r="D9" s="337"/>
      <c r="E9" s="329" t="s">
        <v>431</v>
      </c>
      <c r="F9" s="330"/>
      <c r="G9" s="330"/>
      <c r="H9" s="221"/>
      <c r="I9" s="589">
        <f>+E13</f>
        <v>12000000</v>
      </c>
      <c r="J9" s="590"/>
      <c r="K9" s="590"/>
      <c r="L9" s="590"/>
      <c r="M9" s="590"/>
      <c r="N9" s="590"/>
      <c r="O9" s="590"/>
      <c r="P9" s="590"/>
      <c r="Q9" s="591"/>
      <c r="R9" s="592"/>
      <c r="S9" s="1"/>
    </row>
    <row r="10" spans="1:49" ht="50.1" customHeight="1">
      <c r="A10" s="530" t="s">
        <v>292</v>
      </c>
      <c r="B10" s="531"/>
      <c r="C10" s="531"/>
      <c r="D10" s="531"/>
      <c r="E10" s="531"/>
      <c r="F10" s="531"/>
      <c r="G10" s="531"/>
      <c r="H10" s="532"/>
      <c r="I10" s="532"/>
      <c r="J10" s="532"/>
      <c r="K10" s="532"/>
      <c r="L10" s="532"/>
      <c r="M10" s="532"/>
      <c r="N10" s="532"/>
      <c r="O10" s="532"/>
      <c r="P10" s="532"/>
      <c r="Q10" s="532"/>
      <c r="R10" s="533"/>
      <c r="S10" s="2"/>
    </row>
    <row r="11" spans="1:49" ht="30" customHeight="1">
      <c r="A11" s="613" t="s">
        <v>374</v>
      </c>
      <c r="B11" s="614"/>
      <c r="C11" s="614"/>
      <c r="D11" s="614"/>
      <c r="E11" s="614"/>
      <c r="F11" s="614"/>
      <c r="G11" s="614"/>
      <c r="H11" s="158"/>
      <c r="I11" s="216" t="s">
        <v>313</v>
      </c>
      <c r="J11" s="216" t="s">
        <v>314</v>
      </c>
      <c r="K11" s="216" t="s">
        <v>315</v>
      </c>
      <c r="L11" s="216" t="s">
        <v>316</v>
      </c>
      <c r="M11" s="216" t="s">
        <v>317</v>
      </c>
      <c r="N11" s="216" t="s">
        <v>318</v>
      </c>
      <c r="O11" s="216" t="s">
        <v>319</v>
      </c>
      <c r="P11" s="216" t="s">
        <v>320</v>
      </c>
      <c r="Q11" s="216" t="s">
        <v>321</v>
      </c>
      <c r="R11" s="217" t="s">
        <v>322</v>
      </c>
      <c r="S11" s="2"/>
    </row>
    <row r="12" spans="1:49" ht="162.6">
      <c r="A12" s="615"/>
      <c r="B12" s="616"/>
      <c r="C12" s="616"/>
      <c r="D12" s="616"/>
      <c r="E12" s="616"/>
      <c r="F12" s="616"/>
      <c r="G12" s="616"/>
      <c r="H12" s="78"/>
      <c r="I12" s="214" t="s">
        <v>3</v>
      </c>
      <c r="J12" s="214" t="s">
        <v>5</v>
      </c>
      <c r="K12" s="214" t="s">
        <v>302</v>
      </c>
      <c r="L12" s="214" t="s">
        <v>303</v>
      </c>
      <c r="M12" s="214" t="s">
        <v>304</v>
      </c>
      <c r="N12" s="214" t="s">
        <v>279</v>
      </c>
      <c r="O12" s="214" t="s">
        <v>305</v>
      </c>
      <c r="P12" s="214" t="s">
        <v>306</v>
      </c>
      <c r="Q12" s="214" t="s">
        <v>165</v>
      </c>
      <c r="R12" s="215" t="s">
        <v>211</v>
      </c>
      <c r="S12" s="2"/>
      <c r="T12" s="94"/>
      <c r="U12" s="95"/>
      <c r="V12" s="95"/>
    </row>
    <row r="13" spans="1:49" ht="156" customHeight="1">
      <c r="A13" s="509" t="s">
        <v>312</v>
      </c>
      <c r="B13" s="510"/>
      <c r="C13" s="511" t="s">
        <v>355</v>
      </c>
      <c r="D13" s="512"/>
      <c r="E13" s="598">
        <f>SUM(I13:R13)</f>
        <v>12000000</v>
      </c>
      <c r="F13" s="599"/>
      <c r="G13" s="599"/>
      <c r="H13" s="91"/>
      <c r="I13" s="155">
        <v>6000000</v>
      </c>
      <c r="J13" s="155">
        <v>2500000</v>
      </c>
      <c r="K13" s="155">
        <v>1000000</v>
      </c>
      <c r="L13" s="155">
        <v>500000</v>
      </c>
      <c r="M13" s="155">
        <v>500000</v>
      </c>
      <c r="N13" s="155">
        <v>1500000</v>
      </c>
      <c r="O13" s="155">
        <v>0</v>
      </c>
      <c r="P13" s="155">
        <v>0</v>
      </c>
      <c r="Q13" s="155">
        <v>0</v>
      </c>
      <c r="R13" s="156">
        <v>0</v>
      </c>
      <c r="S13" s="82"/>
    </row>
    <row r="14" spans="1:49" ht="193.5" customHeight="1">
      <c r="A14" s="610" t="s">
        <v>384</v>
      </c>
      <c r="B14" s="611"/>
      <c r="C14" s="611"/>
      <c r="D14" s="611"/>
      <c r="E14" s="611"/>
      <c r="F14" s="611"/>
      <c r="G14" s="612"/>
      <c r="H14" s="96"/>
      <c r="I14" s="218" t="s">
        <v>218</v>
      </c>
      <c r="J14" s="218" t="s">
        <v>219</v>
      </c>
      <c r="K14" s="218" t="s">
        <v>249</v>
      </c>
      <c r="L14" s="218" t="s">
        <v>222</v>
      </c>
      <c r="M14" s="218" t="s">
        <v>221</v>
      </c>
      <c r="N14" s="218" t="s">
        <v>260</v>
      </c>
      <c r="O14" s="218"/>
      <c r="P14" s="218"/>
      <c r="Q14" s="218"/>
      <c r="R14" s="219"/>
      <c r="S14" s="83"/>
    </row>
    <row r="15" spans="1:49" s="140" customFormat="1" ht="19.5" customHeight="1" thickBot="1">
      <c r="A15" s="484" t="s">
        <v>0</v>
      </c>
      <c r="B15" s="485"/>
      <c r="C15" s="486" t="s">
        <v>217</v>
      </c>
      <c r="D15" s="487"/>
      <c r="E15" s="488"/>
      <c r="F15" s="488"/>
      <c r="G15" s="489"/>
      <c r="H15" s="136"/>
      <c r="I15" s="137">
        <f t="shared" ref="I15:R15" si="0">+IF(I13=0,0,0.03+10/I13^0.4)</f>
        <v>4.9441935582935373E-2</v>
      </c>
      <c r="J15" s="137">
        <f t="shared" si="0"/>
        <v>5.7594593229224278E-2</v>
      </c>
      <c r="K15" s="137">
        <f t="shared" si="0"/>
        <v>6.9810717055349719E-2</v>
      </c>
      <c r="L15" s="137">
        <f t="shared" si="0"/>
        <v>8.253055608807533E-2</v>
      </c>
      <c r="M15" s="137">
        <f t="shared" si="0"/>
        <v>8.253055608807533E-2</v>
      </c>
      <c r="N15" s="137">
        <f t="shared" si="0"/>
        <v>6.3850375946582702E-2</v>
      </c>
      <c r="O15" s="137">
        <f t="shared" si="0"/>
        <v>0</v>
      </c>
      <c r="P15" s="137">
        <f t="shared" si="0"/>
        <v>0</v>
      </c>
      <c r="Q15" s="137">
        <f t="shared" si="0"/>
        <v>0</v>
      </c>
      <c r="R15" s="138">
        <f t="shared" si="0"/>
        <v>0</v>
      </c>
      <c r="S15" s="139"/>
      <c r="AW15" s="141"/>
    </row>
    <row r="16" spans="1:49" s="140" customFormat="1" ht="30" customHeight="1">
      <c r="A16" s="596" t="s">
        <v>353</v>
      </c>
      <c r="B16" s="597"/>
      <c r="C16" s="600" t="s">
        <v>288</v>
      </c>
      <c r="D16" s="601"/>
      <c r="E16" s="602">
        <f>IF(E13&lt;100000000,0,+E13-100000000)</f>
        <v>0</v>
      </c>
      <c r="F16" s="602"/>
      <c r="G16" s="603"/>
      <c r="H16" s="136"/>
      <c r="I16" s="490" t="s">
        <v>389</v>
      </c>
      <c r="J16" s="491"/>
      <c r="K16" s="491"/>
      <c r="L16" s="491"/>
      <c r="M16" s="491"/>
      <c r="N16" s="491"/>
      <c r="O16" s="491"/>
      <c r="P16" s="491"/>
      <c r="Q16" s="491"/>
      <c r="R16" s="492"/>
      <c r="S16" s="165" t="s">
        <v>289</v>
      </c>
    </row>
    <row r="17" spans="1:49" s="140" customFormat="1" ht="150" customHeight="1">
      <c r="A17" s="604"/>
      <c r="B17" s="605"/>
      <c r="C17" s="606"/>
      <c r="D17" s="607"/>
      <c r="E17" s="608"/>
      <c r="F17" s="609"/>
      <c r="G17" s="609"/>
      <c r="H17" s="136"/>
      <c r="I17" s="147">
        <f>+IF(I13&gt;=100000000,100000000,IF(I13&lt;100000000,I13))</f>
        <v>6000000</v>
      </c>
      <c r="J17" s="147">
        <f t="shared" ref="J17:R17" si="1">+IF(J13&gt;=100000000,100000000,IF(J13&lt;100000000,J13))</f>
        <v>2500000</v>
      </c>
      <c r="K17" s="147">
        <f t="shared" si="1"/>
        <v>1000000</v>
      </c>
      <c r="L17" s="147">
        <f t="shared" si="1"/>
        <v>500000</v>
      </c>
      <c r="M17" s="147">
        <f t="shared" si="1"/>
        <v>500000</v>
      </c>
      <c r="N17" s="147">
        <f t="shared" si="1"/>
        <v>1500000</v>
      </c>
      <c r="O17" s="147">
        <f t="shared" si="1"/>
        <v>0</v>
      </c>
      <c r="P17" s="147">
        <f t="shared" si="1"/>
        <v>0</v>
      </c>
      <c r="Q17" s="147">
        <f t="shared" si="1"/>
        <v>0</v>
      </c>
      <c r="R17" s="148">
        <f t="shared" si="1"/>
        <v>0</v>
      </c>
      <c r="S17" s="166">
        <f>SUM(I17:R17)</f>
        <v>12000000</v>
      </c>
      <c r="AW17" s="141"/>
    </row>
    <row r="18" spans="1:49" s="140" customFormat="1" ht="30" customHeight="1">
      <c r="A18" s="596" t="s">
        <v>348</v>
      </c>
      <c r="B18" s="597"/>
      <c r="C18" s="490" t="s">
        <v>390</v>
      </c>
      <c r="D18" s="515"/>
      <c r="E18" s="515"/>
      <c r="F18" s="515"/>
      <c r="G18" s="516"/>
      <c r="H18" s="136"/>
      <c r="I18" s="490" t="s">
        <v>388</v>
      </c>
      <c r="J18" s="491"/>
      <c r="K18" s="491"/>
      <c r="L18" s="491"/>
      <c r="M18" s="491"/>
      <c r="N18" s="491"/>
      <c r="O18" s="491"/>
      <c r="P18" s="491"/>
      <c r="Q18" s="491"/>
      <c r="R18" s="492"/>
      <c r="S18" s="166"/>
      <c r="AW18" s="141"/>
    </row>
    <row r="19" spans="1:49" s="140" customFormat="1" ht="150" customHeight="1">
      <c r="A19" s="604"/>
      <c r="B19" s="605"/>
      <c r="C19" s="606"/>
      <c r="D19" s="607"/>
      <c r="E19" s="608"/>
      <c r="F19" s="609"/>
      <c r="G19" s="609"/>
      <c r="H19" s="136"/>
      <c r="I19" s="147">
        <f>+I13-I17</f>
        <v>0</v>
      </c>
      <c r="J19" s="147">
        <f t="shared" ref="J19:R19" si="2">+J13-J17</f>
        <v>0</v>
      </c>
      <c r="K19" s="147">
        <f t="shared" si="2"/>
        <v>0</v>
      </c>
      <c r="L19" s="147">
        <f t="shared" si="2"/>
        <v>0</v>
      </c>
      <c r="M19" s="147">
        <f t="shared" si="2"/>
        <v>0</v>
      </c>
      <c r="N19" s="147">
        <f t="shared" si="2"/>
        <v>0</v>
      </c>
      <c r="O19" s="147">
        <f t="shared" si="2"/>
        <v>0</v>
      </c>
      <c r="P19" s="147">
        <f t="shared" si="2"/>
        <v>0</v>
      </c>
      <c r="Q19" s="147">
        <f t="shared" si="2"/>
        <v>0</v>
      </c>
      <c r="R19" s="148">
        <f t="shared" si="2"/>
        <v>0</v>
      </c>
      <c r="S19" s="166">
        <f>SUM(I19:R19)</f>
        <v>0</v>
      </c>
      <c r="AW19" s="141"/>
    </row>
    <row r="20" spans="1:49" ht="25.5" customHeight="1">
      <c r="A20" s="468" t="s">
        <v>1</v>
      </c>
      <c r="B20" s="469"/>
      <c r="C20" s="495" t="s">
        <v>347</v>
      </c>
      <c r="D20" s="496"/>
      <c r="E20" s="497"/>
      <c r="F20" s="497"/>
      <c r="G20" s="497"/>
      <c r="H20" s="97"/>
      <c r="I20" s="441">
        <f>_xlfn.IFNA(+VLOOKUP(I14,B64:C85,2,0),0)</f>
        <v>1.2</v>
      </c>
      <c r="J20" s="441">
        <f>_xlfn.IFNA(+VLOOKUP(J14,B86:C91,2,0),0)</f>
        <v>0.95</v>
      </c>
      <c r="K20" s="441">
        <f>_xlfn.IFNA(+VLOOKUP(K14,B92:C104,2,0),0)</f>
        <v>1.3</v>
      </c>
      <c r="L20" s="441">
        <f>_xlfn.IFNA(+VLOOKUP(L14,B92:C104,2,0),0)</f>
        <v>0.75</v>
      </c>
      <c r="M20" s="441">
        <f>_xlfn.IFNA(+VLOOKUP(M14,B92:C104,2,0),0)</f>
        <v>0.85</v>
      </c>
      <c r="N20" s="441">
        <f>_xlfn.IFNA(+VLOOKUP(N14,B105:C107,2,0),0)</f>
        <v>0.45</v>
      </c>
      <c r="O20" s="441">
        <f>_xlfn.IFNA(+VLOOKUP(O14,B108:C112,2,0),0)</f>
        <v>0</v>
      </c>
      <c r="P20" s="441">
        <f>_xlfn.IFNA(+VLOOKUP(O14,B108:C112,2,0),0)</f>
        <v>0</v>
      </c>
      <c r="Q20" s="441">
        <f>_xlfn.IFNA(+VLOOKUP(Q14,B113:C115,2,0),0)</f>
        <v>0</v>
      </c>
      <c r="R20" s="443">
        <f>_xlfn.IFNA(+VLOOKUP(R14,B116:C121,2,0),0)</f>
        <v>0</v>
      </c>
      <c r="S20" s="439"/>
    </row>
    <row r="21" spans="1:49" ht="25.5" customHeight="1">
      <c r="A21" s="468" t="s">
        <v>285</v>
      </c>
      <c r="B21" s="469"/>
      <c r="C21" s="593" t="s">
        <v>286</v>
      </c>
      <c r="D21" s="594"/>
      <c r="E21" s="595"/>
      <c r="F21" s="595"/>
      <c r="G21" s="157" t="s">
        <v>281</v>
      </c>
      <c r="H21" s="223">
        <v>1</v>
      </c>
      <c r="I21" s="442"/>
      <c r="J21" s="442"/>
      <c r="K21" s="442"/>
      <c r="L21" s="442"/>
      <c r="M21" s="442"/>
      <c r="N21" s="442"/>
      <c r="O21" s="442"/>
      <c r="P21" s="442"/>
      <c r="Q21" s="442"/>
      <c r="R21" s="444"/>
      <c r="S21" s="440"/>
    </row>
    <row r="22" spans="1:49" ht="102" customHeight="1" outlineLevel="1">
      <c r="A22" s="468" t="s">
        <v>342</v>
      </c>
      <c r="B22" s="469"/>
      <c r="C22" s="493" t="s">
        <v>340</v>
      </c>
      <c r="D22" s="494"/>
      <c r="E22" s="494"/>
      <c r="F22" s="494"/>
      <c r="G22" s="157" t="s">
        <v>282</v>
      </c>
      <c r="H22" s="92"/>
      <c r="I22" s="143">
        <f t="shared" ref="I22:R22" si="3">+IF(I$20=0,0,IF($G22="art. 6 c.1 DL76",0.04,IF($G22="art. 6 c.5 DL76",0.02,0)))*$H$21</f>
        <v>0.04</v>
      </c>
      <c r="J22" s="143">
        <f t="shared" si="3"/>
        <v>0.04</v>
      </c>
      <c r="K22" s="143">
        <f t="shared" si="3"/>
        <v>0.04</v>
      </c>
      <c r="L22" s="143">
        <f t="shared" si="3"/>
        <v>0.04</v>
      </c>
      <c r="M22" s="143">
        <f t="shared" si="3"/>
        <v>0.04</v>
      </c>
      <c r="N22" s="143">
        <f t="shared" si="3"/>
        <v>0.04</v>
      </c>
      <c r="O22" s="143">
        <f t="shared" si="3"/>
        <v>0</v>
      </c>
      <c r="P22" s="143">
        <f t="shared" si="3"/>
        <v>0</v>
      </c>
      <c r="Q22" s="143">
        <f t="shared" si="3"/>
        <v>0</v>
      </c>
      <c r="R22" s="144">
        <f t="shared" si="3"/>
        <v>0</v>
      </c>
      <c r="S22" s="167"/>
    </row>
    <row r="23" spans="1:49" ht="36" customHeight="1" outlineLevel="1">
      <c r="A23" s="468" t="s">
        <v>343</v>
      </c>
      <c r="B23" s="469"/>
      <c r="C23" s="470" t="s">
        <v>341</v>
      </c>
      <c r="D23" s="471"/>
      <c r="E23" s="471"/>
      <c r="F23" s="471"/>
      <c r="G23" s="472"/>
      <c r="H23" s="79"/>
      <c r="I23" s="143">
        <f>0.2*I22</f>
        <v>8.0000000000000002E-3</v>
      </c>
      <c r="J23" s="143">
        <f t="shared" ref="J23:R23" si="4">0.2*J22</f>
        <v>8.0000000000000002E-3</v>
      </c>
      <c r="K23" s="143">
        <f t="shared" si="4"/>
        <v>8.0000000000000002E-3</v>
      </c>
      <c r="L23" s="143">
        <f t="shared" ref="L23:M23" si="5">0.2*L22</f>
        <v>8.0000000000000002E-3</v>
      </c>
      <c r="M23" s="143">
        <f t="shared" si="5"/>
        <v>8.0000000000000002E-3</v>
      </c>
      <c r="N23" s="143">
        <f t="shared" si="4"/>
        <v>8.0000000000000002E-3</v>
      </c>
      <c r="O23" s="143">
        <f t="shared" si="4"/>
        <v>0</v>
      </c>
      <c r="P23" s="143">
        <f t="shared" ref="P23" si="6">0.2*P22</f>
        <v>0</v>
      </c>
      <c r="Q23" s="143">
        <f t="shared" si="4"/>
        <v>0</v>
      </c>
      <c r="R23" s="144">
        <f t="shared" si="4"/>
        <v>0</v>
      </c>
      <c r="S23" s="168"/>
    </row>
    <row r="24" spans="1:49" ht="36" hidden="1" customHeight="1" outlineLevel="1">
      <c r="A24" s="468" t="s">
        <v>381</v>
      </c>
      <c r="B24" s="469"/>
      <c r="C24" s="513" t="s">
        <v>380</v>
      </c>
      <c r="D24" s="514"/>
      <c r="E24" s="471"/>
      <c r="F24" s="472"/>
      <c r="G24" s="224" t="s">
        <v>281</v>
      </c>
      <c r="H24" s="242">
        <f>+IF(G24="NO",1,1.2)</f>
        <v>1</v>
      </c>
      <c r="I24" s="226" t="str">
        <f>+IF(I25=0,"- - -",IF($G$24="NO","- - -","+20%"))</f>
        <v>- - -</v>
      </c>
      <c r="J24" s="226" t="str">
        <f t="shared" ref="J24:L24" si="7">+IF(J25=0,"- - -",IF($G$24="NO","- - -","+20%"))</f>
        <v>- - -</v>
      </c>
      <c r="K24" s="226" t="str">
        <f t="shared" si="7"/>
        <v>- - -</v>
      </c>
      <c r="L24" s="226" t="str">
        <f t="shared" si="7"/>
        <v>- - -</v>
      </c>
      <c r="M24" s="226" t="str">
        <f t="shared" ref="M24:R24" si="8">+IF(M25=0,"- - -",IF($G$24="NO","+0%","+20%"))</f>
        <v>+0%</v>
      </c>
      <c r="N24" s="226" t="str">
        <f t="shared" si="8"/>
        <v>+0%</v>
      </c>
      <c r="O24" s="226" t="str">
        <f t="shared" si="8"/>
        <v>- - -</v>
      </c>
      <c r="P24" s="226" t="str">
        <f t="shared" si="8"/>
        <v>- - -</v>
      </c>
      <c r="Q24" s="226" t="str">
        <f t="shared" si="8"/>
        <v>- - -</v>
      </c>
      <c r="R24" s="227" t="str">
        <f t="shared" si="8"/>
        <v>- - -</v>
      </c>
      <c r="S24" s="168"/>
    </row>
    <row r="25" spans="1:49" ht="36" customHeight="1" outlineLevel="1">
      <c r="A25" s="502" t="s">
        <v>344</v>
      </c>
      <c r="B25" s="503"/>
      <c r="C25" s="498" t="s">
        <v>287</v>
      </c>
      <c r="D25" s="499"/>
      <c r="E25" s="500"/>
      <c r="F25" s="501"/>
      <c r="G25" s="224" t="s">
        <v>382</v>
      </c>
      <c r="H25" s="225"/>
      <c r="I25" s="145">
        <f>+I22*I20*I15*I17*$H$24</f>
        <v>14239.277447885388</v>
      </c>
      <c r="J25" s="145">
        <f t="shared" ref="J25:R25" si="9">+J22*J20*J15*J17*$H$24</f>
        <v>5471.4863567763068</v>
      </c>
      <c r="K25" s="145">
        <f t="shared" si="9"/>
        <v>3630.1572868781859</v>
      </c>
      <c r="L25" s="145">
        <f t="shared" si="9"/>
        <v>1237.9583413211299</v>
      </c>
      <c r="M25" s="145">
        <f t="shared" si="9"/>
        <v>1403.0194534972807</v>
      </c>
      <c r="N25" s="145">
        <f t="shared" si="9"/>
        <v>1723.9601505577332</v>
      </c>
      <c r="O25" s="145">
        <f t="shared" si="9"/>
        <v>0</v>
      </c>
      <c r="P25" s="145">
        <f t="shared" si="9"/>
        <v>0</v>
      </c>
      <c r="Q25" s="145">
        <f t="shared" si="9"/>
        <v>0</v>
      </c>
      <c r="R25" s="229">
        <f t="shared" si="9"/>
        <v>0</v>
      </c>
      <c r="S25" s="228">
        <f>SUM(I25:R25)</f>
        <v>27705.859036916023</v>
      </c>
    </row>
    <row r="26" spans="1:49" ht="36" customHeight="1" outlineLevel="1" thickBot="1">
      <c r="A26" s="462" t="s">
        <v>345</v>
      </c>
      <c r="B26" s="463"/>
      <c r="C26" s="464" t="s">
        <v>290</v>
      </c>
      <c r="D26" s="465"/>
      <c r="E26" s="466"/>
      <c r="F26" s="467"/>
      <c r="G26" s="114" t="s">
        <v>383</v>
      </c>
      <c r="H26" s="101"/>
      <c r="I26" s="146">
        <f>+I19*I15*I20*I23*$H$24</f>
        <v>0</v>
      </c>
      <c r="J26" s="146">
        <f t="shared" ref="J26:R26" si="10">+J19*J15*J20*J23*$H$24</f>
        <v>0</v>
      </c>
      <c r="K26" s="146">
        <f t="shared" si="10"/>
        <v>0</v>
      </c>
      <c r="L26" s="146">
        <f t="shared" si="10"/>
        <v>0</v>
      </c>
      <c r="M26" s="146">
        <f t="shared" si="10"/>
        <v>0</v>
      </c>
      <c r="N26" s="146">
        <f t="shared" si="10"/>
        <v>0</v>
      </c>
      <c r="O26" s="146">
        <f t="shared" si="10"/>
        <v>0</v>
      </c>
      <c r="P26" s="146">
        <f t="shared" si="10"/>
        <v>0</v>
      </c>
      <c r="Q26" s="146">
        <f t="shared" si="10"/>
        <v>0</v>
      </c>
      <c r="R26" s="230">
        <f t="shared" si="10"/>
        <v>0</v>
      </c>
      <c r="S26" s="169">
        <f>SUM(I26:R26)</f>
        <v>0</v>
      </c>
    </row>
    <row r="27" spans="1:49" s="140" customFormat="1" ht="39.9" customHeight="1" outlineLevel="1">
      <c r="A27" s="450" t="s">
        <v>324</v>
      </c>
      <c r="B27" s="451"/>
      <c r="C27" s="558" t="s">
        <v>339</v>
      </c>
      <c r="D27" s="559"/>
      <c r="E27" s="559"/>
      <c r="F27" s="560"/>
      <c r="G27" s="176" t="s">
        <v>354</v>
      </c>
      <c r="H27" s="177"/>
      <c r="I27" s="448">
        <f>IF(G21="SI",(SUM(I25:R25)+SUM(I26:R26))*0.7,(SUM(I25:R25)+SUM(I26:R26)))</f>
        <v>27705.859036916023</v>
      </c>
      <c r="J27" s="448"/>
      <c r="K27" s="448"/>
      <c r="L27" s="448"/>
      <c r="M27" s="448"/>
      <c r="N27" s="448"/>
      <c r="O27" s="448"/>
      <c r="P27" s="448"/>
      <c r="Q27" s="448"/>
      <c r="R27" s="449"/>
      <c r="S27" s="142"/>
    </row>
    <row r="28" spans="1:49" s="140" customFormat="1" ht="39.9" customHeight="1" outlineLevel="1" thickBot="1">
      <c r="A28" s="452" t="s">
        <v>346</v>
      </c>
      <c r="B28" s="453"/>
      <c r="C28" s="504" t="s">
        <v>291</v>
      </c>
      <c r="D28" s="505"/>
      <c r="E28" s="505"/>
      <c r="F28" s="506"/>
      <c r="G28" s="178" t="s">
        <v>284</v>
      </c>
      <c r="H28" s="179"/>
      <c r="I28" s="578">
        <f>+I27*1.1</f>
        <v>30476.444940607627</v>
      </c>
      <c r="J28" s="578"/>
      <c r="K28" s="578"/>
      <c r="L28" s="578"/>
      <c r="M28" s="578"/>
      <c r="N28" s="578"/>
      <c r="O28" s="578"/>
      <c r="P28" s="578"/>
      <c r="Q28" s="578"/>
      <c r="R28" s="579"/>
      <c r="S28" s="142"/>
    </row>
    <row r="29" spans="1:49" s="85" customFormat="1" ht="20.100000000000001" customHeight="1" thickBot="1">
      <c r="A29" s="170"/>
      <c r="B29" s="171"/>
      <c r="C29" s="171"/>
      <c r="D29" s="172"/>
      <c r="E29" s="173"/>
      <c r="F29" s="174"/>
      <c r="G29" s="174"/>
      <c r="H29" s="174"/>
      <c r="I29" s="175"/>
      <c r="J29" s="175"/>
      <c r="K29" s="175"/>
      <c r="L29" s="175"/>
      <c r="M29" s="175"/>
      <c r="N29" s="175"/>
      <c r="O29" s="175"/>
      <c r="P29" s="175"/>
      <c r="Q29" s="175"/>
      <c r="R29" s="175"/>
      <c r="S29" s="84"/>
    </row>
    <row r="30" spans="1:49" ht="50.1" customHeight="1" thickBot="1">
      <c r="A30" s="445" t="s">
        <v>328</v>
      </c>
      <c r="B30" s="446"/>
      <c r="C30" s="446"/>
      <c r="D30" s="446"/>
      <c r="E30" s="446"/>
      <c r="F30" s="446"/>
      <c r="G30" s="446"/>
      <c r="H30" s="446"/>
      <c r="I30" s="446"/>
      <c r="J30" s="446"/>
      <c r="K30" s="446"/>
      <c r="L30" s="446"/>
      <c r="M30" s="446"/>
      <c r="N30" s="446"/>
      <c r="O30" s="446"/>
      <c r="P30" s="446"/>
      <c r="Q30" s="446"/>
      <c r="R30" s="447"/>
      <c r="S30" s="84"/>
    </row>
    <row r="31" spans="1:49" ht="50.1" customHeight="1">
      <c r="A31" s="381" t="s">
        <v>307</v>
      </c>
      <c r="B31" s="367"/>
      <c r="C31" s="377" t="s">
        <v>391</v>
      </c>
      <c r="D31" s="378"/>
      <c r="E31" s="135" t="s">
        <v>392</v>
      </c>
      <c r="F31" s="241">
        <v>75</v>
      </c>
      <c r="G31" s="538" t="s">
        <v>401</v>
      </c>
      <c r="H31" s="539"/>
      <c r="I31" s="540"/>
      <c r="J31" s="544">
        <v>40</v>
      </c>
      <c r="K31" s="546" t="s">
        <v>329</v>
      </c>
      <c r="L31" s="547"/>
      <c r="M31" s="547"/>
      <c r="N31" s="547"/>
      <c r="O31" s="368">
        <f>+F32*J31</f>
        <v>3750</v>
      </c>
      <c r="P31" s="556"/>
      <c r="Q31" s="556"/>
      <c r="R31" s="557"/>
      <c r="S31" s="84"/>
      <c r="U31" s="265"/>
    </row>
    <row r="32" spans="1:49" ht="50.1" customHeight="1" thickBot="1">
      <c r="A32" s="382"/>
      <c r="B32" s="383"/>
      <c r="C32" s="379"/>
      <c r="D32" s="380"/>
      <c r="E32" s="245" t="s">
        <v>293</v>
      </c>
      <c r="F32" s="246">
        <f>+F31*1.25</f>
        <v>93.75</v>
      </c>
      <c r="G32" s="541"/>
      <c r="H32" s="542"/>
      <c r="I32" s="543"/>
      <c r="J32" s="545"/>
      <c r="K32" s="548" t="s">
        <v>330</v>
      </c>
      <c r="L32" s="371"/>
      <c r="M32" s="371"/>
      <c r="N32" s="371"/>
      <c r="O32" s="359">
        <f>+O31*1.1</f>
        <v>4125</v>
      </c>
      <c r="P32" s="360"/>
      <c r="Q32" s="360"/>
      <c r="R32" s="361"/>
      <c r="S32" s="84"/>
    </row>
    <row r="33" spans="1:21" ht="30" customHeight="1">
      <c r="A33" s="454" t="s">
        <v>311</v>
      </c>
      <c r="B33" s="455"/>
      <c r="C33" s="521" t="s">
        <v>399</v>
      </c>
      <c r="D33" s="522"/>
      <c r="E33" s="256" t="s">
        <v>326</v>
      </c>
      <c r="F33" s="257">
        <f>+IF($E$13&lt;=1000000,25%,0)</f>
        <v>0</v>
      </c>
      <c r="G33" s="367" t="s">
        <v>332</v>
      </c>
      <c r="H33" s="237"/>
      <c r="I33" s="368">
        <f>+O31*MAX(F33:F36)</f>
        <v>679.6875</v>
      </c>
      <c r="J33" s="369"/>
      <c r="K33" s="370" t="s">
        <v>331</v>
      </c>
      <c r="L33" s="371"/>
      <c r="M33" s="371"/>
      <c r="N33" s="371"/>
      <c r="O33" s="359">
        <f>+O31+I33</f>
        <v>4429.6875</v>
      </c>
      <c r="P33" s="360"/>
      <c r="Q33" s="360"/>
      <c r="R33" s="361"/>
      <c r="S33" s="84"/>
    </row>
    <row r="34" spans="1:21" ht="30" customHeight="1">
      <c r="A34" s="456"/>
      <c r="B34" s="457"/>
      <c r="C34" s="523"/>
      <c r="D34" s="524"/>
      <c r="E34" s="384" t="s">
        <v>323</v>
      </c>
      <c r="F34" s="386">
        <f>+IF(AND($E$13&gt;1000000,$E$13&lt;25000000),(41000000-$E$13)/1600000/100,0)</f>
        <v>0.18124999999999999</v>
      </c>
      <c r="G34" s="362"/>
      <c r="H34" s="231"/>
      <c r="I34" s="359"/>
      <c r="J34" s="364"/>
      <c r="K34" s="372"/>
      <c r="L34" s="371"/>
      <c r="M34" s="371"/>
      <c r="N34" s="371"/>
      <c r="O34" s="360"/>
      <c r="P34" s="360"/>
      <c r="Q34" s="360"/>
      <c r="R34" s="361"/>
      <c r="S34" s="84"/>
    </row>
    <row r="35" spans="1:21" ht="30" customHeight="1">
      <c r="A35" s="458"/>
      <c r="B35" s="459"/>
      <c r="C35" s="525"/>
      <c r="D35" s="524"/>
      <c r="E35" s="385"/>
      <c r="F35" s="387"/>
      <c r="G35" s="362" t="s">
        <v>333</v>
      </c>
      <c r="H35" s="240"/>
      <c r="I35" s="359">
        <f>+O32*MAX(F34:F36)</f>
        <v>747.65625</v>
      </c>
      <c r="J35" s="364"/>
      <c r="K35" s="370" t="s">
        <v>335</v>
      </c>
      <c r="L35" s="371"/>
      <c r="M35" s="371"/>
      <c r="N35" s="371"/>
      <c r="O35" s="359">
        <f>+O32+I35</f>
        <v>4872.65625</v>
      </c>
      <c r="P35" s="360"/>
      <c r="Q35" s="360"/>
      <c r="R35" s="361"/>
      <c r="S35" s="84"/>
    </row>
    <row r="36" spans="1:21" ht="30" customHeight="1" thickBot="1">
      <c r="A36" s="460"/>
      <c r="B36" s="461"/>
      <c r="C36" s="526"/>
      <c r="D36" s="527"/>
      <c r="E36" s="258" t="s">
        <v>327</v>
      </c>
      <c r="F36" s="259">
        <f>+IF($E$13&gt;=25000000,10%,0)</f>
        <v>0</v>
      </c>
      <c r="G36" s="363"/>
      <c r="H36" s="232"/>
      <c r="I36" s="365"/>
      <c r="J36" s="366"/>
      <c r="K36" s="373"/>
      <c r="L36" s="374"/>
      <c r="M36" s="374"/>
      <c r="N36" s="374"/>
      <c r="O36" s="375"/>
      <c r="P36" s="375"/>
      <c r="Q36" s="375"/>
      <c r="R36" s="376"/>
      <c r="S36" s="84"/>
    </row>
    <row r="37" spans="1:21" ht="50.1" customHeight="1">
      <c r="A37" s="561" t="s">
        <v>308</v>
      </c>
      <c r="B37" s="390"/>
      <c r="C37" s="565" t="s">
        <v>309</v>
      </c>
      <c r="D37" s="566"/>
      <c r="E37" s="475" t="s">
        <v>310</v>
      </c>
      <c r="F37" s="476"/>
      <c r="G37" s="479">
        <v>750000</v>
      </c>
      <c r="H37" s="480"/>
      <c r="I37" s="480"/>
      <c r="J37" s="481"/>
      <c r="K37" s="473" t="s">
        <v>402</v>
      </c>
      <c r="L37" s="474"/>
      <c r="M37" s="474"/>
      <c r="N37" s="474"/>
      <c r="O37" s="392">
        <f>+MAX(J41:J52)</f>
        <v>6713.8125</v>
      </c>
      <c r="P37" s="582"/>
      <c r="Q37" s="582"/>
      <c r="R37" s="583"/>
      <c r="S37" s="84"/>
    </row>
    <row r="38" spans="1:21" ht="50.1" customHeight="1" thickBot="1">
      <c r="A38" s="562"/>
      <c r="B38" s="528"/>
      <c r="C38" s="567"/>
      <c r="D38" s="568"/>
      <c r="E38" s="477"/>
      <c r="F38" s="478"/>
      <c r="G38" s="482"/>
      <c r="H38" s="483"/>
      <c r="I38" s="483"/>
      <c r="J38" s="483"/>
      <c r="K38" s="584" t="s">
        <v>336</v>
      </c>
      <c r="L38" s="400"/>
      <c r="M38" s="400"/>
      <c r="N38" s="400"/>
      <c r="O38" s="396">
        <f>+O37*1.1</f>
        <v>7385.1937500000004</v>
      </c>
      <c r="P38" s="402"/>
      <c r="Q38" s="402"/>
      <c r="R38" s="403"/>
      <c r="S38" s="84"/>
      <c r="U38" s="310" t="s">
        <v>295</v>
      </c>
    </row>
    <row r="39" spans="1:21" ht="50.1" hidden="1" customHeight="1">
      <c r="A39" s="562"/>
      <c r="B39" s="528"/>
      <c r="C39" s="567"/>
      <c r="D39" s="568"/>
      <c r="E39" s="507" t="s">
        <v>300</v>
      </c>
      <c r="F39" s="508"/>
      <c r="G39" s="549">
        <f>+IF(G37=0,0,IF(G37&lt;1000,270,IF(G37&lt;5200,1215,IF(G37&lt;26000,1890,IF(G37&lt;52000,2295,IF(G37&lt;260000,4320,IF(G37&lt;520000,5870,5870)))))))</f>
        <v>5870</v>
      </c>
      <c r="H39" s="550"/>
      <c r="I39" s="551"/>
      <c r="J39" s="570" t="s">
        <v>301</v>
      </c>
      <c r="K39" s="161"/>
      <c r="L39" s="162"/>
      <c r="M39" s="162"/>
      <c r="N39" s="162"/>
      <c r="O39" s="266"/>
      <c r="P39" s="266"/>
      <c r="Q39" s="266"/>
      <c r="R39" s="267"/>
      <c r="S39" s="84"/>
    </row>
    <row r="40" spans="1:21" ht="50.1" hidden="1" customHeight="1">
      <c r="A40" s="562"/>
      <c r="B40" s="528"/>
      <c r="C40" s="567"/>
      <c r="D40" s="568"/>
      <c r="E40" s="517" t="s">
        <v>298</v>
      </c>
      <c r="F40" s="518"/>
      <c r="G40" s="517" t="s">
        <v>297</v>
      </c>
      <c r="H40" s="518"/>
      <c r="I40" s="102" t="s">
        <v>296</v>
      </c>
      <c r="J40" s="571"/>
      <c r="K40" s="161"/>
      <c r="L40" s="162"/>
      <c r="M40" s="162"/>
      <c r="N40" s="162"/>
      <c r="O40" s="266"/>
      <c r="P40" s="266"/>
      <c r="Q40" s="266"/>
      <c r="R40" s="267"/>
      <c r="S40" s="84"/>
    </row>
    <row r="41" spans="1:21" ht="50.1" hidden="1" customHeight="1">
      <c r="A41" s="562"/>
      <c r="B41" s="528"/>
      <c r="C41" s="567"/>
      <c r="D41" s="568"/>
      <c r="E41" s="519">
        <v>520000</v>
      </c>
      <c r="F41" s="520"/>
      <c r="G41" s="103" t="s">
        <v>299</v>
      </c>
      <c r="H41" s="149"/>
      <c r="I41" s="104"/>
      <c r="J41" s="159">
        <f>+IF(G39&lt;E83,+G39,"- - - - -")</f>
        <v>5870</v>
      </c>
      <c r="K41" s="161"/>
      <c r="L41" s="162"/>
      <c r="M41" s="162"/>
      <c r="N41" s="162"/>
      <c r="O41" s="266"/>
      <c r="P41" s="266"/>
      <c r="Q41" s="266"/>
      <c r="R41" s="267"/>
      <c r="S41" s="84"/>
    </row>
    <row r="42" spans="1:21" ht="50.1" hidden="1" customHeight="1">
      <c r="A42" s="562"/>
      <c r="B42" s="528"/>
      <c r="C42" s="567"/>
      <c r="D42" s="568"/>
      <c r="E42" s="519">
        <v>1000000</v>
      </c>
      <c r="F42" s="520"/>
      <c r="G42" s="150">
        <f t="shared" ref="G42:G52" si="11">IF(($G$37-E41)&lt;0,0,IF(E42&gt;$G$37,$G$37-E41,+E42-E41))</f>
        <v>230000</v>
      </c>
      <c r="H42" s="150">
        <f>+IF(G37-E41&lt;0,0,G37-E41-480000)</f>
        <v>-250000</v>
      </c>
      <c r="I42" s="105">
        <f>+G42/480000*30%</f>
        <v>0.14374999999999999</v>
      </c>
      <c r="J42" s="159">
        <f>IF(I42=0,0,+$J41+$J41*I42)</f>
        <v>6713.8125</v>
      </c>
      <c r="K42" s="161"/>
      <c r="L42" s="162"/>
      <c r="M42" s="162"/>
      <c r="N42" s="162"/>
      <c r="O42" s="266"/>
      <c r="P42" s="266"/>
      <c r="Q42" s="266"/>
      <c r="R42" s="267"/>
      <c r="S42" s="84"/>
    </row>
    <row r="43" spans="1:21" ht="50.1" hidden="1" customHeight="1">
      <c r="A43" s="574"/>
      <c r="B43" s="575"/>
      <c r="C43" s="568"/>
      <c r="D43" s="568"/>
      <c r="E43" s="519">
        <f>+E42*2</f>
        <v>2000000</v>
      </c>
      <c r="F43" s="520"/>
      <c r="G43" s="150">
        <f t="shared" si="11"/>
        <v>0</v>
      </c>
      <c r="H43" s="150">
        <f>+IF($G$37&gt;E43,+E43-E42,$G$37-520000-H42)</f>
        <v>480000</v>
      </c>
      <c r="I43" s="105">
        <f>+G43/G85*30%</f>
        <v>0</v>
      </c>
      <c r="J43" s="159">
        <f t="shared" ref="J43:J52" si="12">IF(I43=0,0,+$J42+$J42*I43)</f>
        <v>0</v>
      </c>
      <c r="K43" s="161"/>
      <c r="L43" s="162"/>
      <c r="M43" s="162"/>
      <c r="N43" s="162"/>
      <c r="O43" s="266"/>
      <c r="P43" s="266"/>
      <c r="Q43" s="266"/>
      <c r="R43" s="267"/>
      <c r="S43" s="84"/>
    </row>
    <row r="44" spans="1:21" ht="50.1" hidden="1" customHeight="1">
      <c r="A44" s="574"/>
      <c r="B44" s="575"/>
      <c r="C44" s="572"/>
      <c r="D44" s="572"/>
      <c r="E44" s="519">
        <f>+E43*2</f>
        <v>4000000</v>
      </c>
      <c r="F44" s="520"/>
      <c r="G44" s="150">
        <f t="shared" si="11"/>
        <v>0</v>
      </c>
      <c r="H44" s="150">
        <f>+IF($G$37&gt;E44,+E44-E43,$G$37-520000-H42-H43)</f>
        <v>0</v>
      </c>
      <c r="I44" s="105">
        <f>+G44/E44*30%*2</f>
        <v>0</v>
      </c>
      <c r="J44" s="159">
        <f t="shared" si="12"/>
        <v>0</v>
      </c>
      <c r="K44" s="161"/>
      <c r="L44" s="162"/>
      <c r="M44" s="162"/>
      <c r="N44" s="162"/>
      <c r="O44" s="266"/>
      <c r="P44" s="266"/>
      <c r="Q44" s="266"/>
      <c r="R44" s="267"/>
      <c r="S44" s="84"/>
    </row>
    <row r="45" spans="1:21" ht="50.1" hidden="1" customHeight="1">
      <c r="A45" s="574"/>
      <c r="B45" s="575"/>
      <c r="C45" s="572"/>
      <c r="D45" s="572"/>
      <c r="E45" s="519">
        <f>+E44*2</f>
        <v>8000000</v>
      </c>
      <c r="F45" s="520"/>
      <c r="G45" s="150">
        <f t="shared" si="11"/>
        <v>0</v>
      </c>
      <c r="H45" s="150">
        <f>+IF($G$37&gt;E45,+E45-E44,$G$37-520000-H42-H43-H44)</f>
        <v>0</v>
      </c>
      <c r="I45" s="105">
        <f t="shared" ref="I45:I52" si="13">+G45/G87*30%</f>
        <v>0</v>
      </c>
      <c r="J45" s="159">
        <f t="shared" si="12"/>
        <v>0</v>
      </c>
      <c r="K45" s="161"/>
      <c r="L45" s="162"/>
      <c r="M45" s="162"/>
      <c r="N45" s="162"/>
      <c r="O45" s="266"/>
      <c r="P45" s="266"/>
      <c r="Q45" s="266"/>
      <c r="R45" s="267"/>
      <c r="S45" s="84"/>
    </row>
    <row r="46" spans="1:21" ht="50.1" hidden="1" customHeight="1">
      <c r="A46" s="574"/>
      <c r="B46" s="575"/>
      <c r="C46" s="572"/>
      <c r="D46" s="572"/>
      <c r="E46" s="519">
        <f t="shared" ref="E46:E52" si="14">+E45*2</f>
        <v>16000000</v>
      </c>
      <c r="F46" s="520"/>
      <c r="G46" s="150">
        <f t="shared" si="11"/>
        <v>0</v>
      </c>
      <c r="H46" s="150">
        <f>+IF($G$37&gt;E46,+E46-E45,$G$37-520000-H42-H43-H44-H45)</f>
        <v>0</v>
      </c>
      <c r="I46" s="105">
        <f t="shared" si="13"/>
        <v>0</v>
      </c>
      <c r="J46" s="159">
        <f t="shared" si="12"/>
        <v>0</v>
      </c>
      <c r="K46" s="161"/>
      <c r="L46" s="162"/>
      <c r="M46" s="162"/>
      <c r="N46" s="162"/>
      <c r="O46" s="266"/>
      <c r="P46" s="266"/>
      <c r="Q46" s="266"/>
      <c r="R46" s="267"/>
      <c r="S46" s="84"/>
    </row>
    <row r="47" spans="1:21" ht="50.1" hidden="1" customHeight="1">
      <c r="A47" s="574"/>
      <c r="B47" s="575"/>
      <c r="C47" s="572"/>
      <c r="D47" s="572"/>
      <c r="E47" s="519">
        <f t="shared" si="14"/>
        <v>32000000</v>
      </c>
      <c r="F47" s="520"/>
      <c r="G47" s="150">
        <f t="shared" si="11"/>
        <v>0</v>
      </c>
      <c r="H47" s="150">
        <f>+IF($G$37&gt;E47,+E47-E46,$G$37-520000-H42-H43-H44-H45-H46)</f>
        <v>0</v>
      </c>
      <c r="I47" s="105">
        <f t="shared" si="13"/>
        <v>0</v>
      </c>
      <c r="J47" s="159">
        <f t="shared" si="12"/>
        <v>0</v>
      </c>
      <c r="K47" s="161"/>
      <c r="L47" s="162"/>
      <c r="M47" s="162"/>
      <c r="N47" s="162"/>
      <c r="O47" s="266"/>
      <c r="P47" s="266"/>
      <c r="Q47" s="266"/>
      <c r="R47" s="267"/>
      <c r="S47" s="84"/>
    </row>
    <row r="48" spans="1:21" ht="50.1" hidden="1" customHeight="1">
      <c r="A48" s="574"/>
      <c r="B48" s="575"/>
      <c r="C48" s="572"/>
      <c r="D48" s="572"/>
      <c r="E48" s="519">
        <f t="shared" si="14"/>
        <v>64000000</v>
      </c>
      <c r="F48" s="520"/>
      <c r="G48" s="150">
        <f t="shared" si="11"/>
        <v>0</v>
      </c>
      <c r="H48" s="150">
        <f>+IF($G$37&gt;E48,+E48-E47,$G$37-520000-H42-H43-H44-H45-H46-H47)</f>
        <v>0</v>
      </c>
      <c r="I48" s="105">
        <f t="shared" si="13"/>
        <v>0</v>
      </c>
      <c r="J48" s="159">
        <f t="shared" si="12"/>
        <v>0</v>
      </c>
      <c r="K48" s="161"/>
      <c r="L48" s="162"/>
      <c r="M48" s="162"/>
      <c r="N48" s="162"/>
      <c r="O48" s="266"/>
      <c r="P48" s="266"/>
      <c r="Q48" s="266"/>
      <c r="R48" s="267"/>
      <c r="S48" s="84"/>
    </row>
    <row r="49" spans="1:20" ht="50.1" hidden="1" customHeight="1">
      <c r="A49" s="574"/>
      <c r="B49" s="575"/>
      <c r="C49" s="572"/>
      <c r="D49" s="572"/>
      <c r="E49" s="519">
        <f t="shared" si="14"/>
        <v>128000000</v>
      </c>
      <c r="F49" s="520"/>
      <c r="G49" s="150">
        <f t="shared" si="11"/>
        <v>0</v>
      </c>
      <c r="H49" s="150">
        <f>+IF($G$37&gt;E49,+E49-E48,$G$37-520000-H42-H43-H44-H45-H46-H47-H48)</f>
        <v>0</v>
      </c>
      <c r="I49" s="105">
        <f t="shared" si="13"/>
        <v>0</v>
      </c>
      <c r="J49" s="159">
        <f t="shared" si="12"/>
        <v>0</v>
      </c>
      <c r="K49" s="161"/>
      <c r="L49" s="162"/>
      <c r="M49" s="162"/>
      <c r="N49" s="162"/>
      <c r="O49" s="266"/>
      <c r="P49" s="266"/>
      <c r="Q49" s="266"/>
      <c r="R49" s="267"/>
      <c r="S49" s="84"/>
    </row>
    <row r="50" spans="1:20" ht="50.1" hidden="1" customHeight="1">
      <c r="A50" s="574"/>
      <c r="B50" s="575"/>
      <c r="C50" s="572"/>
      <c r="D50" s="572"/>
      <c r="E50" s="519">
        <f t="shared" si="14"/>
        <v>256000000</v>
      </c>
      <c r="F50" s="520"/>
      <c r="G50" s="150">
        <f t="shared" si="11"/>
        <v>0</v>
      </c>
      <c r="H50" s="150">
        <f>+IF($G$37&gt;E50,+E50-E49,$G$37-520000-H42-H43-H44-H45-H46-H47-H48-H49)</f>
        <v>0</v>
      </c>
      <c r="I50" s="105">
        <f t="shared" si="13"/>
        <v>0</v>
      </c>
      <c r="J50" s="159">
        <f t="shared" si="12"/>
        <v>0</v>
      </c>
      <c r="K50" s="161"/>
      <c r="L50" s="162"/>
      <c r="M50" s="162"/>
      <c r="N50" s="162"/>
      <c r="O50" s="266"/>
      <c r="P50" s="266"/>
      <c r="Q50" s="266"/>
      <c r="R50" s="267"/>
      <c r="S50" s="84"/>
    </row>
    <row r="51" spans="1:20" ht="50.1" hidden="1" customHeight="1">
      <c r="A51" s="574"/>
      <c r="B51" s="575"/>
      <c r="C51" s="572"/>
      <c r="D51" s="572"/>
      <c r="E51" s="519">
        <f t="shared" si="14"/>
        <v>512000000</v>
      </c>
      <c r="F51" s="520"/>
      <c r="G51" s="150">
        <f t="shared" si="11"/>
        <v>0</v>
      </c>
      <c r="H51" s="150">
        <f>+IF($G$37&gt;E51,+E51-E50,$G$37-520000-H42-H43-H44-H45-H46-H47-H48-H49-H50)</f>
        <v>0</v>
      </c>
      <c r="I51" s="105">
        <f t="shared" si="13"/>
        <v>0</v>
      </c>
      <c r="J51" s="159">
        <f t="shared" si="12"/>
        <v>0</v>
      </c>
      <c r="K51" s="161"/>
      <c r="L51" s="162"/>
      <c r="M51" s="162"/>
      <c r="N51" s="162"/>
      <c r="O51" s="266"/>
      <c r="P51" s="266"/>
      <c r="Q51" s="266"/>
      <c r="R51" s="267"/>
      <c r="S51" s="84"/>
    </row>
    <row r="52" spans="1:20" ht="50.1" hidden="1" customHeight="1" thickBot="1">
      <c r="A52" s="576"/>
      <c r="B52" s="577"/>
      <c r="C52" s="573"/>
      <c r="D52" s="573"/>
      <c r="E52" s="406">
        <f t="shared" si="14"/>
        <v>1024000000</v>
      </c>
      <c r="F52" s="407"/>
      <c r="G52" s="262">
        <f t="shared" si="11"/>
        <v>0</v>
      </c>
      <c r="H52" s="151">
        <f>+IF($G$37&gt;E52,+E52-E51,$G$37-520000-H42-H43-H44-H45-H46-H47-H48-H49-H50-H51)</f>
        <v>0</v>
      </c>
      <c r="I52" s="115">
        <f t="shared" si="13"/>
        <v>0</v>
      </c>
      <c r="J52" s="160">
        <f t="shared" si="12"/>
        <v>0</v>
      </c>
      <c r="K52" s="161"/>
      <c r="L52" s="162"/>
      <c r="M52" s="162"/>
      <c r="N52" s="162"/>
      <c r="O52" s="266"/>
      <c r="P52" s="266"/>
      <c r="Q52" s="266"/>
      <c r="R52" s="267"/>
      <c r="S52" s="84"/>
    </row>
    <row r="53" spans="1:20" ht="30" customHeight="1">
      <c r="A53" s="561" t="s">
        <v>325</v>
      </c>
      <c r="B53" s="390"/>
      <c r="C53" s="565" t="s">
        <v>400</v>
      </c>
      <c r="D53" s="566"/>
      <c r="E53" s="263" t="s">
        <v>326</v>
      </c>
      <c r="F53" s="264">
        <f>+IF($E$13&lt;=1000000,25%,0)</f>
        <v>0</v>
      </c>
      <c r="G53" s="390" t="s">
        <v>332</v>
      </c>
      <c r="H53" s="239"/>
      <c r="I53" s="392">
        <f>+O37*MAX(F53:F56)</f>
        <v>1216.8785156249999</v>
      </c>
      <c r="J53" s="393"/>
      <c r="K53" s="399" t="s">
        <v>334</v>
      </c>
      <c r="L53" s="400"/>
      <c r="M53" s="400"/>
      <c r="N53" s="400"/>
      <c r="O53" s="396">
        <f>+O37+I53</f>
        <v>7930.6910156249996</v>
      </c>
      <c r="P53" s="402"/>
      <c r="Q53" s="402"/>
      <c r="R53" s="403"/>
      <c r="S53" s="84"/>
    </row>
    <row r="54" spans="1:20" ht="30" customHeight="1">
      <c r="A54" s="562"/>
      <c r="B54" s="528"/>
      <c r="C54" s="567"/>
      <c r="D54" s="568"/>
      <c r="E54" s="552" t="s">
        <v>323</v>
      </c>
      <c r="F54" s="554">
        <f>+IF(AND($E$13&gt;1000000,$E$13&lt;25000000),(41000000-$E$13)/1600000/100,0)</f>
        <v>0.18124999999999999</v>
      </c>
      <c r="G54" s="391"/>
      <c r="H54" s="233"/>
      <c r="I54" s="394"/>
      <c r="J54" s="395"/>
      <c r="K54" s="401"/>
      <c r="L54" s="400"/>
      <c r="M54" s="400"/>
      <c r="N54" s="400"/>
      <c r="O54" s="402"/>
      <c r="P54" s="402"/>
      <c r="Q54" s="402"/>
      <c r="R54" s="403"/>
      <c r="S54" s="84"/>
    </row>
    <row r="55" spans="1:20" ht="30" customHeight="1">
      <c r="A55" s="562"/>
      <c r="B55" s="528"/>
      <c r="C55" s="567"/>
      <c r="D55" s="568"/>
      <c r="E55" s="553"/>
      <c r="F55" s="555"/>
      <c r="G55" s="528" t="s">
        <v>333</v>
      </c>
      <c r="H55" s="238"/>
      <c r="I55" s="396">
        <f>+O38*MAX(F53:F56)</f>
        <v>1338.5663671875</v>
      </c>
      <c r="J55" s="395"/>
      <c r="K55" s="399" t="s">
        <v>337</v>
      </c>
      <c r="L55" s="400"/>
      <c r="M55" s="400"/>
      <c r="N55" s="400"/>
      <c r="O55" s="396">
        <f>+O38+I55</f>
        <v>8723.7601171874994</v>
      </c>
      <c r="P55" s="402"/>
      <c r="Q55" s="402"/>
      <c r="R55" s="403"/>
      <c r="S55" s="84"/>
    </row>
    <row r="56" spans="1:20" ht="30" customHeight="1" thickBot="1">
      <c r="A56" s="563"/>
      <c r="B56" s="564"/>
      <c r="C56" s="569"/>
      <c r="D56" s="569"/>
      <c r="E56" s="260" t="s">
        <v>327</v>
      </c>
      <c r="F56" s="261">
        <f>+IF($E$13&gt;=25000000,10%,0)</f>
        <v>0</v>
      </c>
      <c r="G56" s="529"/>
      <c r="H56" s="234"/>
      <c r="I56" s="397"/>
      <c r="J56" s="398"/>
      <c r="K56" s="404"/>
      <c r="L56" s="405"/>
      <c r="M56" s="405"/>
      <c r="N56" s="405"/>
      <c r="O56" s="580"/>
      <c r="P56" s="580"/>
      <c r="Q56" s="580"/>
      <c r="R56" s="581"/>
      <c r="S56" s="84"/>
      <c r="T56" s="310" t="s">
        <v>295</v>
      </c>
    </row>
    <row r="57" spans="1:20" s="85" customFormat="1" ht="20.100000000000001" customHeight="1" thickBot="1">
      <c r="A57" s="170"/>
      <c r="B57" s="171"/>
      <c r="C57" s="171"/>
      <c r="D57" s="172"/>
      <c r="E57" s="173"/>
      <c r="F57" s="174"/>
      <c r="G57" s="174"/>
      <c r="H57" s="174"/>
      <c r="I57" s="175"/>
      <c r="J57" s="175"/>
      <c r="K57" s="175"/>
      <c r="L57" s="175"/>
      <c r="M57" s="175"/>
      <c r="N57" s="175"/>
      <c r="O57" s="175"/>
      <c r="P57" s="175"/>
      <c r="Q57" s="175"/>
      <c r="R57" s="175"/>
      <c r="S57" s="84"/>
    </row>
    <row r="58" spans="1:20" ht="60" customHeight="1" thickBot="1">
      <c r="A58" s="356" t="s">
        <v>372</v>
      </c>
      <c r="B58" s="357"/>
      <c r="C58" s="357"/>
      <c r="D58" s="357"/>
      <c r="E58" s="357"/>
      <c r="F58" s="357"/>
      <c r="G58" s="357"/>
      <c r="H58" s="357"/>
      <c r="I58" s="357"/>
      <c r="J58" s="357"/>
      <c r="K58" s="357"/>
      <c r="L58" s="357"/>
      <c r="M58" s="357"/>
      <c r="N58" s="357"/>
      <c r="O58" s="357"/>
      <c r="P58" s="357"/>
      <c r="Q58" s="357"/>
      <c r="R58" s="358"/>
      <c r="S58" s="84"/>
    </row>
    <row r="59" spans="1:20" ht="99.9" customHeight="1">
      <c r="A59" s="352" t="s">
        <v>434</v>
      </c>
      <c r="B59" s="353"/>
      <c r="C59" s="353"/>
      <c r="D59" s="350">
        <v>3</v>
      </c>
      <c r="E59" s="415" t="s">
        <v>339</v>
      </c>
      <c r="F59" s="416"/>
      <c r="G59" s="417"/>
      <c r="H59" s="180">
        <f>+I27</f>
        <v>27705.859036916023</v>
      </c>
      <c r="I59" s="181">
        <f>+I27</f>
        <v>27705.859036916023</v>
      </c>
      <c r="J59" s="431" t="s">
        <v>350</v>
      </c>
      <c r="K59" s="432"/>
      <c r="L59" s="433">
        <f>+H59*(D59-1)+H60</f>
        <v>85888.163014439677</v>
      </c>
      <c r="M59" s="434"/>
      <c r="N59" s="421" t="s">
        <v>385</v>
      </c>
      <c r="O59" s="422"/>
      <c r="P59" s="422"/>
      <c r="Q59" s="437">
        <v>5000</v>
      </c>
      <c r="R59" s="438"/>
    </row>
    <row r="60" spans="1:20" ht="99.9" customHeight="1" thickBot="1">
      <c r="A60" s="354"/>
      <c r="B60" s="355"/>
      <c r="C60" s="355"/>
      <c r="D60" s="351"/>
      <c r="E60" s="418" t="s">
        <v>467</v>
      </c>
      <c r="F60" s="419"/>
      <c r="G60" s="420"/>
      <c r="H60" s="182">
        <f>+I28</f>
        <v>30476.444940607627</v>
      </c>
      <c r="I60" s="183">
        <f>+I28</f>
        <v>30476.444940607627</v>
      </c>
      <c r="J60" s="419"/>
      <c r="K60" s="419"/>
      <c r="L60" s="435"/>
      <c r="M60" s="436"/>
      <c r="N60" s="427" t="s">
        <v>386</v>
      </c>
      <c r="O60" s="397"/>
      <c r="P60" s="397"/>
      <c r="Q60" s="388">
        <v>5000</v>
      </c>
      <c r="R60" s="389"/>
    </row>
    <row r="61" spans="1:20" ht="99.9" customHeight="1" thickBot="1">
      <c r="A61" s="534" t="s">
        <v>352</v>
      </c>
      <c r="B61" s="535"/>
      <c r="C61" s="535"/>
      <c r="D61" s="243">
        <f>+L59*3</f>
        <v>257664.48904331902</v>
      </c>
      <c r="E61" s="421" t="s">
        <v>397</v>
      </c>
      <c r="F61" s="422"/>
      <c r="G61" s="423"/>
      <c r="H61" s="184">
        <f>+O33</f>
        <v>4429.6875</v>
      </c>
      <c r="I61" s="185">
        <f>+O33*(D59-1)</f>
        <v>8859.375</v>
      </c>
      <c r="J61" s="428" t="s">
        <v>465</v>
      </c>
      <c r="K61" s="429"/>
      <c r="L61" s="429"/>
      <c r="M61" s="189">
        <f>+O53*(D59-1)</f>
        <v>15861.382031249999</v>
      </c>
      <c r="N61" s="408" t="s">
        <v>351</v>
      </c>
      <c r="O61" s="409"/>
      <c r="P61" s="410"/>
      <c r="Q61" s="411">
        <f>+L59+I61+I62+M61+M62+Q59+Q60</f>
        <v>134205.33641287719</v>
      </c>
      <c r="R61" s="412"/>
    </row>
    <row r="62" spans="1:20" ht="118.5" customHeight="1" thickBot="1">
      <c r="A62" s="536" t="s">
        <v>393</v>
      </c>
      <c r="B62" s="537"/>
      <c r="C62" s="537"/>
      <c r="D62" s="244">
        <f>+D61/2</f>
        <v>128832.24452165951</v>
      </c>
      <c r="E62" s="424" t="s">
        <v>349</v>
      </c>
      <c r="F62" s="425"/>
      <c r="G62" s="426"/>
      <c r="H62" s="186">
        <f>+O35</f>
        <v>4872.65625</v>
      </c>
      <c r="I62" s="187">
        <f>+O35</f>
        <v>4872.65625</v>
      </c>
      <c r="J62" s="430" t="s">
        <v>466</v>
      </c>
      <c r="K62" s="397"/>
      <c r="L62" s="397"/>
      <c r="M62" s="188">
        <f>+O55</f>
        <v>8723.7601171874994</v>
      </c>
      <c r="N62" s="413" t="str">
        <f>+IF(Q61&lt;=D61,"SPESA CONTENUTA ENTRO I LIMITI CONSENTITI","SUPERATA LA SPESA MASSIMA CONSENTITA")</f>
        <v>SPESA CONTENUTA ENTRO I LIMITI CONSENTITI</v>
      </c>
      <c r="O62" s="413"/>
      <c r="P62" s="413"/>
      <c r="Q62" s="413"/>
      <c r="R62" s="414"/>
    </row>
    <row r="63" spans="1:20" ht="20.100000000000001" customHeight="1">
      <c r="A63" s="134"/>
      <c r="B63" s="152"/>
      <c r="C63" s="152"/>
      <c r="D63" s="152"/>
      <c r="E63" s="152"/>
      <c r="K63" s="152"/>
      <c r="L63" s="152"/>
      <c r="M63" s="152"/>
      <c r="N63" s="152"/>
      <c r="O63" s="152"/>
      <c r="P63" s="152"/>
      <c r="Q63" s="152"/>
      <c r="R63" s="152"/>
      <c r="S63" s="84"/>
    </row>
    <row r="64" spans="1:20" ht="60" hidden="1" customHeight="1">
      <c r="B64" s="98" t="s">
        <v>226</v>
      </c>
      <c r="C64" s="90">
        <v>0.65</v>
      </c>
      <c r="E64" s="112">
        <v>0.1</v>
      </c>
      <c r="F64" s="106" t="s">
        <v>281</v>
      </c>
      <c r="G64" s="153">
        <v>1000000</v>
      </c>
      <c r="H64" s="81"/>
      <c r="I64" s="86"/>
      <c r="L64" s="86"/>
      <c r="M64" s="86"/>
      <c r="O64" s="86"/>
      <c r="P64" s="86"/>
      <c r="Q64" s="86"/>
    </row>
    <row r="65" spans="2:17" ht="60" hidden="1" customHeight="1" thickBot="1">
      <c r="B65" s="98" t="s">
        <v>227</v>
      </c>
      <c r="C65" s="90">
        <v>0.95</v>
      </c>
      <c r="E65" s="113">
        <v>0.25</v>
      </c>
      <c r="F65" s="107" t="s">
        <v>280</v>
      </c>
      <c r="G65" s="154">
        <v>25000000</v>
      </c>
      <c r="H65" s="88"/>
      <c r="I65" s="86"/>
      <c r="L65" s="86"/>
      <c r="M65" s="86"/>
      <c r="O65" s="86"/>
      <c r="P65" s="86"/>
      <c r="Q65" s="86"/>
    </row>
    <row r="66" spans="2:17" ht="60" hidden="1" customHeight="1">
      <c r="B66" s="98" t="s">
        <v>228</v>
      </c>
      <c r="C66" s="90">
        <v>0.95</v>
      </c>
      <c r="E66" s="108" t="s">
        <v>282</v>
      </c>
      <c r="F66" s="106">
        <v>3</v>
      </c>
      <c r="G66" s="109">
        <v>1</v>
      </c>
      <c r="H66" s="89"/>
      <c r="I66" s="86"/>
      <c r="L66" s="86"/>
      <c r="M66" s="86"/>
      <c r="O66" s="86"/>
      <c r="P66" s="86"/>
      <c r="Q66" s="86"/>
    </row>
    <row r="67" spans="2:17" ht="60" hidden="1" customHeight="1" thickBot="1">
      <c r="B67" s="98" t="s">
        <v>229</v>
      </c>
      <c r="C67" s="90">
        <v>1.2</v>
      </c>
      <c r="E67" s="110" t="s">
        <v>283</v>
      </c>
      <c r="F67" s="107">
        <v>5</v>
      </c>
      <c r="G67" s="111">
        <v>0.7</v>
      </c>
      <c r="H67" s="81"/>
      <c r="I67" s="86"/>
      <c r="L67" s="86"/>
      <c r="M67" s="86"/>
      <c r="O67" s="86"/>
      <c r="P67" s="86"/>
      <c r="Q67" s="86"/>
    </row>
    <row r="68" spans="2:17" ht="60" hidden="1" customHeight="1">
      <c r="B68" s="98" t="s">
        <v>230</v>
      </c>
      <c r="C68" s="90">
        <v>0.65</v>
      </c>
      <c r="F68" s="133"/>
      <c r="H68" s="81"/>
      <c r="I68" s="86"/>
      <c r="L68" s="86"/>
      <c r="M68" s="86"/>
      <c r="O68" s="86"/>
      <c r="P68" s="86"/>
      <c r="Q68" s="86"/>
    </row>
    <row r="69" spans="2:17" ht="60" hidden="1" customHeight="1">
      <c r="B69" s="98" t="s">
        <v>231</v>
      </c>
      <c r="C69" s="90">
        <v>0.95</v>
      </c>
      <c r="F69" s="132"/>
      <c r="H69" s="81"/>
      <c r="I69" s="86"/>
      <c r="L69" s="86"/>
      <c r="M69" s="86"/>
      <c r="O69" s="86"/>
      <c r="P69" s="86"/>
      <c r="Q69" s="86"/>
    </row>
    <row r="70" spans="2:17" ht="60" hidden="1" customHeight="1" thickBot="1">
      <c r="B70" s="98" t="s">
        <v>232</v>
      </c>
      <c r="C70" s="90">
        <v>1.2</v>
      </c>
      <c r="E70" s="80"/>
      <c r="F70" s="80"/>
      <c r="G70" s="81"/>
      <c r="H70" s="81"/>
      <c r="I70" s="86"/>
      <c r="L70" s="86"/>
      <c r="M70" s="86"/>
      <c r="O70" s="86"/>
      <c r="P70" s="86"/>
      <c r="Q70" s="86"/>
    </row>
    <row r="71" spans="2:17" ht="60" hidden="1" customHeight="1">
      <c r="B71" s="98" t="s">
        <v>233</v>
      </c>
      <c r="C71" s="90">
        <v>0.95</v>
      </c>
      <c r="E71" s="116">
        <v>50</v>
      </c>
      <c r="F71" s="119">
        <v>0.05</v>
      </c>
      <c r="G71" s="81"/>
      <c r="O71" s="86"/>
      <c r="P71" s="86"/>
      <c r="Q71" s="86"/>
    </row>
    <row r="72" spans="2:17" ht="60" hidden="1" customHeight="1">
      <c r="B72" s="98" t="s">
        <v>234</v>
      </c>
      <c r="C72" s="90">
        <v>1.1499999999999999</v>
      </c>
      <c r="E72" s="117">
        <v>55</v>
      </c>
      <c r="F72" s="120">
        <v>0.1</v>
      </c>
      <c r="G72" s="81"/>
      <c r="O72" s="86"/>
      <c r="P72" s="86"/>
      <c r="Q72" s="86"/>
    </row>
    <row r="73" spans="2:17" ht="60" hidden="1" customHeight="1">
      <c r="B73" s="98" t="s">
        <v>235</v>
      </c>
      <c r="C73" s="90">
        <v>1.2</v>
      </c>
      <c r="E73" s="117">
        <v>60</v>
      </c>
      <c r="F73" s="121">
        <v>0.15</v>
      </c>
      <c r="G73" s="81"/>
      <c r="O73" s="86"/>
      <c r="P73" s="86"/>
      <c r="Q73" s="86"/>
    </row>
    <row r="74" spans="2:17" ht="60" hidden="1" customHeight="1">
      <c r="B74" s="98" t="s">
        <v>236</v>
      </c>
      <c r="C74" s="90">
        <v>0.95</v>
      </c>
      <c r="E74" s="117">
        <v>65</v>
      </c>
      <c r="F74" s="121">
        <v>0.2</v>
      </c>
      <c r="G74" s="81"/>
      <c r="O74" s="86"/>
      <c r="P74" s="86"/>
      <c r="Q74" s="86"/>
    </row>
    <row r="75" spans="2:17" ht="60" hidden="1" customHeight="1">
      <c r="B75" s="98" t="s">
        <v>237</v>
      </c>
      <c r="C75" s="90">
        <v>1.1499999999999999</v>
      </c>
      <c r="E75" s="117">
        <v>70</v>
      </c>
      <c r="F75" s="121">
        <v>0.25</v>
      </c>
      <c r="G75" s="81"/>
      <c r="O75" s="86"/>
      <c r="P75" s="86"/>
      <c r="Q75" s="86"/>
    </row>
    <row r="76" spans="2:17" ht="60" hidden="1" customHeight="1" thickBot="1">
      <c r="B76" s="98" t="s">
        <v>238</v>
      </c>
      <c r="C76" s="90">
        <v>1.2</v>
      </c>
      <c r="E76" s="118">
        <v>75</v>
      </c>
      <c r="F76" s="122">
        <v>0.3</v>
      </c>
      <c r="G76" s="81"/>
      <c r="O76" s="86"/>
      <c r="P76" s="86"/>
      <c r="Q76" s="86"/>
    </row>
    <row r="77" spans="2:17" ht="60" hidden="1" customHeight="1">
      <c r="B77" s="98" t="s">
        <v>239</v>
      </c>
      <c r="C77" s="90">
        <v>0.65</v>
      </c>
      <c r="E77" s="123">
        <v>0</v>
      </c>
      <c r="F77" s="124">
        <v>0</v>
      </c>
      <c r="G77" s="81"/>
      <c r="O77" s="86"/>
      <c r="P77" s="86"/>
      <c r="Q77" s="86"/>
    </row>
    <row r="78" spans="2:17" ht="60" hidden="1" customHeight="1">
      <c r="B78" s="98" t="s">
        <v>223</v>
      </c>
      <c r="C78" s="90">
        <v>0.95</v>
      </c>
      <c r="E78" s="125">
        <v>1100</v>
      </c>
      <c r="F78" s="126">
        <v>270</v>
      </c>
      <c r="G78" s="81"/>
      <c r="O78" s="86"/>
      <c r="P78" s="86"/>
      <c r="Q78" s="86"/>
    </row>
    <row r="79" spans="2:17" ht="60" hidden="1" customHeight="1">
      <c r="B79" s="98" t="s">
        <v>218</v>
      </c>
      <c r="C79" s="90">
        <v>1.2</v>
      </c>
      <c r="E79" s="125">
        <v>5200</v>
      </c>
      <c r="F79" s="126">
        <v>1215</v>
      </c>
      <c r="G79" s="81"/>
      <c r="O79" s="86"/>
      <c r="P79" s="86"/>
      <c r="Q79" s="86"/>
    </row>
    <row r="80" spans="2:17" ht="60" hidden="1" customHeight="1">
      <c r="B80" s="98" t="s">
        <v>224</v>
      </c>
      <c r="C80" s="90">
        <v>0.65</v>
      </c>
      <c r="E80" s="125">
        <v>26000</v>
      </c>
      <c r="F80" s="126">
        <v>1890</v>
      </c>
      <c r="G80" s="81"/>
      <c r="O80" s="86"/>
      <c r="P80" s="86"/>
      <c r="Q80" s="86"/>
    </row>
    <row r="81" spans="2:17" ht="60" hidden="1" customHeight="1">
      <c r="B81" s="98" t="s">
        <v>240</v>
      </c>
      <c r="C81" s="90">
        <v>0.95</v>
      </c>
      <c r="E81" s="125">
        <v>52000</v>
      </c>
      <c r="F81" s="126">
        <v>2295</v>
      </c>
      <c r="G81" s="81"/>
      <c r="O81" s="86"/>
      <c r="P81" s="86"/>
      <c r="Q81" s="86"/>
    </row>
    <row r="82" spans="2:17" ht="60" hidden="1" customHeight="1">
      <c r="B82" s="98" t="s">
        <v>241</v>
      </c>
      <c r="C82" s="90">
        <v>1.2</v>
      </c>
      <c r="E82" s="125">
        <v>260000</v>
      </c>
      <c r="F82" s="126">
        <v>4320</v>
      </c>
      <c r="G82" s="81"/>
      <c r="O82" s="86"/>
      <c r="P82" s="86"/>
      <c r="Q82" s="86"/>
    </row>
    <row r="83" spans="2:17" ht="60" hidden="1" customHeight="1" thickBot="1">
      <c r="B83" s="98" t="s">
        <v>242</v>
      </c>
      <c r="C83" s="90">
        <v>0.95</v>
      </c>
      <c r="E83" s="125">
        <v>520000</v>
      </c>
      <c r="F83" s="126">
        <v>5870</v>
      </c>
      <c r="G83" s="93" t="s">
        <v>295</v>
      </c>
      <c r="O83" s="86"/>
      <c r="P83" s="86"/>
      <c r="Q83" s="86"/>
    </row>
    <row r="84" spans="2:17" ht="60" hidden="1" customHeight="1">
      <c r="B84" s="98" t="s">
        <v>243</v>
      </c>
      <c r="C84" s="90">
        <v>1.2</v>
      </c>
      <c r="E84" s="125">
        <v>1000000</v>
      </c>
      <c r="F84" s="126">
        <v>7631</v>
      </c>
      <c r="G84" s="129">
        <v>480000</v>
      </c>
      <c r="O84" s="86"/>
      <c r="P84" s="86"/>
      <c r="Q84" s="86"/>
    </row>
    <row r="85" spans="2:17" ht="60" hidden="1" customHeight="1">
      <c r="B85" s="98" t="s">
        <v>244</v>
      </c>
      <c r="C85" s="90">
        <v>1.55</v>
      </c>
      <c r="E85" s="125">
        <v>2000000</v>
      </c>
      <c r="F85" s="126">
        <v>9920.2999999999993</v>
      </c>
      <c r="G85" s="130">
        <v>1000000</v>
      </c>
      <c r="O85" s="86"/>
      <c r="P85" s="86"/>
      <c r="Q85" s="86"/>
    </row>
    <row r="86" spans="2:17" ht="60" hidden="1" customHeight="1">
      <c r="B86" s="100" t="s">
        <v>245</v>
      </c>
      <c r="C86" s="99">
        <v>0.7</v>
      </c>
      <c r="E86" s="125">
        <v>4000000</v>
      </c>
      <c r="F86" s="126">
        <v>12896.39</v>
      </c>
      <c r="G86" s="130">
        <v>2000000</v>
      </c>
      <c r="O86" s="86"/>
      <c r="P86" s="86"/>
      <c r="Q86" s="86"/>
    </row>
    <row r="87" spans="2:17" ht="60" hidden="1" customHeight="1">
      <c r="B87" s="100" t="s">
        <v>225</v>
      </c>
      <c r="C87" s="99">
        <v>0.5</v>
      </c>
      <c r="E87" s="125">
        <v>8000000</v>
      </c>
      <c r="F87" s="126">
        <v>16765.307000000001</v>
      </c>
      <c r="G87" s="130">
        <v>4000000</v>
      </c>
    </row>
    <row r="88" spans="2:17" ht="60" hidden="1" customHeight="1">
      <c r="B88" s="100" t="s">
        <v>219</v>
      </c>
      <c r="C88" s="99">
        <v>0.95</v>
      </c>
      <c r="E88" s="125">
        <f t="shared" ref="E88:E94" si="15">+E87*2</f>
        <v>16000000</v>
      </c>
      <c r="F88" s="126">
        <v>21794.899100000002</v>
      </c>
      <c r="G88" s="130">
        <v>8000000</v>
      </c>
    </row>
    <row r="89" spans="2:17" ht="60" hidden="1" customHeight="1">
      <c r="B89" s="100" t="s">
        <v>246</v>
      </c>
      <c r="C89" s="99">
        <v>0.9</v>
      </c>
      <c r="E89" s="125">
        <f t="shared" si="15"/>
        <v>32000000</v>
      </c>
      <c r="F89" s="126">
        <v>28333.368830000003</v>
      </c>
      <c r="G89" s="130">
        <v>16000000</v>
      </c>
    </row>
    <row r="90" spans="2:17" ht="60" hidden="1" customHeight="1">
      <c r="B90" s="100" t="s">
        <v>247</v>
      </c>
      <c r="C90" s="99">
        <v>1.05</v>
      </c>
      <c r="E90" s="125">
        <f t="shared" si="15"/>
        <v>64000000</v>
      </c>
      <c r="F90" s="126">
        <v>36833.379479000003</v>
      </c>
      <c r="G90" s="130">
        <v>32000000</v>
      </c>
    </row>
    <row r="91" spans="2:17" ht="60" hidden="1" customHeight="1">
      <c r="B91" s="100" t="s">
        <v>248</v>
      </c>
      <c r="C91" s="99">
        <v>1.1499999999999999</v>
      </c>
      <c r="E91" s="125">
        <f t="shared" si="15"/>
        <v>128000000</v>
      </c>
      <c r="F91" s="126">
        <v>47883.393322700002</v>
      </c>
      <c r="G91" s="130">
        <v>64000000</v>
      </c>
    </row>
    <row r="92" spans="2:17" ht="60" hidden="1" customHeight="1">
      <c r="B92" s="98" t="s">
        <v>222</v>
      </c>
      <c r="C92" s="90">
        <v>0.75</v>
      </c>
      <c r="E92" s="125">
        <f t="shared" si="15"/>
        <v>256000000</v>
      </c>
      <c r="F92" s="126">
        <v>62248.41131951</v>
      </c>
      <c r="G92" s="130">
        <v>128000000</v>
      </c>
    </row>
    <row r="93" spans="2:17" ht="60" hidden="1" customHeight="1">
      <c r="B93" s="98" t="s">
        <v>221</v>
      </c>
      <c r="C93" s="90">
        <v>0.85</v>
      </c>
      <c r="E93" s="125">
        <f t="shared" si="15"/>
        <v>512000000</v>
      </c>
      <c r="F93" s="126">
        <v>80922.934715362993</v>
      </c>
      <c r="G93" s="130">
        <v>256000000</v>
      </c>
    </row>
    <row r="94" spans="2:17" ht="60" hidden="1" customHeight="1" thickBot="1">
      <c r="B94" s="98" t="s">
        <v>220</v>
      </c>
      <c r="C94" s="90">
        <v>1.1499999999999999</v>
      </c>
      <c r="E94" s="127">
        <f t="shared" si="15"/>
        <v>1024000000</v>
      </c>
      <c r="F94" s="128">
        <v>105199.81512997189</v>
      </c>
      <c r="G94" s="131">
        <v>512000000</v>
      </c>
    </row>
    <row r="95" spans="2:17" ht="60" hidden="1" customHeight="1">
      <c r="B95" s="98" t="s">
        <v>249</v>
      </c>
      <c r="C95" s="90">
        <v>1.3</v>
      </c>
      <c r="E95" s="80"/>
      <c r="F95" s="80"/>
      <c r="G95" s="81"/>
      <c r="H95" s="81"/>
    </row>
    <row r="96" spans="2:17" ht="60" hidden="1" customHeight="1">
      <c r="B96" s="100" t="s">
        <v>250</v>
      </c>
      <c r="C96" s="99">
        <v>0.55000000000000004</v>
      </c>
      <c r="E96" s="80"/>
      <c r="F96" s="80"/>
      <c r="G96" s="81"/>
      <c r="H96" s="81"/>
    </row>
    <row r="97" spans="2:8" ht="60" hidden="1" customHeight="1">
      <c r="B97" s="100" t="s">
        <v>251</v>
      </c>
      <c r="C97" s="99">
        <v>0.7</v>
      </c>
      <c r="E97" s="80"/>
      <c r="F97" s="80"/>
      <c r="G97" s="81"/>
      <c r="H97" s="81"/>
    </row>
    <row r="98" spans="2:8" ht="60" hidden="1" customHeight="1">
      <c r="B98" s="100" t="s">
        <v>252</v>
      </c>
      <c r="C98" s="99">
        <v>0.7</v>
      </c>
      <c r="E98" s="80"/>
      <c r="F98" s="80"/>
      <c r="G98" s="81"/>
      <c r="H98" s="81"/>
    </row>
    <row r="99" spans="2:8" ht="60" hidden="1" customHeight="1">
      <c r="B99" s="100" t="s">
        <v>253</v>
      </c>
      <c r="C99" s="99">
        <v>0.75</v>
      </c>
      <c r="E99" s="80"/>
      <c r="F99" s="80"/>
      <c r="G99" s="81"/>
      <c r="H99" s="81"/>
    </row>
    <row r="100" spans="2:8" ht="60" hidden="1" customHeight="1">
      <c r="B100" s="100" t="s">
        <v>254</v>
      </c>
      <c r="C100" s="99">
        <v>0.5</v>
      </c>
      <c r="E100" s="80"/>
      <c r="F100" s="80"/>
      <c r="G100" s="81"/>
      <c r="H100" s="81"/>
    </row>
    <row r="101" spans="2:8" ht="60" hidden="1" customHeight="1">
      <c r="B101" s="100" t="s">
        <v>255</v>
      </c>
      <c r="C101" s="99">
        <v>0.6</v>
      </c>
      <c r="E101" s="80"/>
      <c r="F101" s="80"/>
      <c r="G101" s="81"/>
      <c r="H101" s="81"/>
    </row>
    <row r="102" spans="2:8" ht="60" hidden="1" customHeight="1">
      <c r="B102" s="100" t="s">
        <v>256</v>
      </c>
      <c r="C102" s="99">
        <v>0.75</v>
      </c>
      <c r="E102" s="80"/>
      <c r="F102" s="80"/>
      <c r="G102" s="81"/>
      <c r="H102" s="81"/>
    </row>
    <row r="103" spans="2:8" ht="60" hidden="1" customHeight="1">
      <c r="B103" s="100" t="s">
        <v>257</v>
      </c>
      <c r="C103" s="99">
        <v>0.9</v>
      </c>
      <c r="E103" s="80"/>
      <c r="F103" s="80"/>
      <c r="G103" s="81"/>
      <c r="H103" s="81"/>
    </row>
    <row r="104" spans="2:8" ht="60" hidden="1" customHeight="1">
      <c r="B104" s="100" t="s">
        <v>258</v>
      </c>
      <c r="C104" s="99">
        <v>1</v>
      </c>
      <c r="E104" s="80"/>
      <c r="F104" s="80"/>
      <c r="G104" s="81"/>
      <c r="H104" s="81"/>
    </row>
    <row r="105" spans="2:8" ht="60" hidden="1" customHeight="1">
      <c r="B105" s="98" t="s">
        <v>259</v>
      </c>
      <c r="C105" s="90">
        <v>0.4</v>
      </c>
      <c r="E105" s="80"/>
      <c r="F105" s="80"/>
      <c r="G105" s="81"/>
      <c r="H105" s="81"/>
    </row>
    <row r="106" spans="2:8" ht="60" hidden="1" customHeight="1">
      <c r="B106" s="98" t="s">
        <v>260</v>
      </c>
      <c r="C106" s="90">
        <v>0.45</v>
      </c>
      <c r="E106" s="80"/>
      <c r="F106" s="80"/>
      <c r="G106" s="81"/>
      <c r="H106" s="81"/>
    </row>
    <row r="107" spans="2:8" ht="60" hidden="1" customHeight="1">
      <c r="B107" s="98" t="s">
        <v>261</v>
      </c>
      <c r="C107" s="90">
        <v>0.75</v>
      </c>
      <c r="E107" s="80"/>
      <c r="F107" s="80"/>
      <c r="G107" s="81"/>
      <c r="H107" s="81"/>
    </row>
    <row r="108" spans="2:8" ht="60" hidden="1" customHeight="1">
      <c r="B108" s="100" t="s">
        <v>262</v>
      </c>
      <c r="C108" s="99">
        <v>0.65</v>
      </c>
      <c r="E108" s="80"/>
      <c r="F108" s="80"/>
      <c r="G108" s="81"/>
      <c r="H108" s="81"/>
    </row>
    <row r="109" spans="2:8" ht="60" hidden="1" customHeight="1">
      <c r="B109" s="100" t="s">
        <v>263</v>
      </c>
      <c r="C109" s="99">
        <v>0.45</v>
      </c>
      <c r="E109" s="80"/>
      <c r="F109" s="80"/>
      <c r="G109" s="81"/>
      <c r="H109" s="81"/>
    </row>
    <row r="110" spans="2:8" ht="60" hidden="1" customHeight="1">
      <c r="B110" s="100" t="s">
        <v>264</v>
      </c>
      <c r="C110" s="99">
        <v>0.55000000000000004</v>
      </c>
      <c r="E110" s="80"/>
      <c r="F110" s="80"/>
      <c r="G110" s="81"/>
      <c r="H110" s="81"/>
    </row>
    <row r="111" spans="2:8" ht="60" hidden="1" customHeight="1">
      <c r="B111" s="100" t="s">
        <v>265</v>
      </c>
      <c r="C111" s="99">
        <v>0.65</v>
      </c>
      <c r="E111" s="80"/>
      <c r="F111" s="80"/>
      <c r="G111" s="81"/>
      <c r="H111" s="81"/>
    </row>
    <row r="112" spans="2:8" ht="60" hidden="1" customHeight="1">
      <c r="B112" s="100" t="s">
        <v>266</v>
      </c>
      <c r="C112" s="99">
        <v>0.8</v>
      </c>
      <c r="E112" s="80"/>
      <c r="F112" s="80"/>
      <c r="G112" s="81"/>
      <c r="H112" s="81"/>
    </row>
    <row r="113" spans="2:8" ht="60" hidden="1" customHeight="1">
      <c r="B113" s="98" t="s">
        <v>267</v>
      </c>
      <c r="C113" s="90">
        <v>0.95</v>
      </c>
      <c r="E113" s="80"/>
      <c r="F113" s="80"/>
      <c r="G113" s="81"/>
      <c r="H113" s="81"/>
    </row>
    <row r="114" spans="2:8" ht="60" hidden="1" customHeight="1">
      <c r="B114" s="98" t="s">
        <v>268</v>
      </c>
      <c r="C114" s="90">
        <v>0.7</v>
      </c>
      <c r="E114" s="80"/>
      <c r="F114" s="80"/>
      <c r="G114" s="81"/>
      <c r="H114" s="81"/>
    </row>
    <row r="115" spans="2:8" ht="60" hidden="1" customHeight="1">
      <c r="B115" s="98" t="s">
        <v>269</v>
      </c>
      <c r="C115" s="90">
        <v>1.2</v>
      </c>
      <c r="E115" s="80"/>
      <c r="F115" s="80"/>
      <c r="G115" s="81"/>
      <c r="H115" s="81"/>
    </row>
    <row r="116" spans="2:8" ht="60" hidden="1" customHeight="1">
      <c r="B116" s="100" t="s">
        <v>270</v>
      </c>
      <c r="C116" s="99">
        <v>0.85</v>
      </c>
      <c r="E116" s="80"/>
      <c r="F116" s="80"/>
      <c r="G116" s="81"/>
      <c r="H116" s="81"/>
    </row>
    <row r="117" spans="2:8" ht="60" hidden="1" customHeight="1">
      <c r="B117" s="100" t="s">
        <v>271</v>
      </c>
      <c r="C117" s="99">
        <v>0.85</v>
      </c>
      <c r="E117" s="80"/>
      <c r="F117" s="80"/>
      <c r="G117" s="81"/>
      <c r="H117" s="81"/>
    </row>
    <row r="118" spans="2:8" ht="60" hidden="1" customHeight="1">
      <c r="B118" s="100" t="s">
        <v>272</v>
      </c>
      <c r="C118" s="99">
        <v>0.85</v>
      </c>
      <c r="E118" s="80"/>
      <c r="F118" s="80"/>
      <c r="G118" s="81"/>
      <c r="H118" s="81"/>
    </row>
    <row r="119" spans="2:8" ht="60" hidden="1" customHeight="1">
      <c r="B119" s="100" t="s">
        <v>273</v>
      </c>
      <c r="C119" s="99">
        <v>0.85</v>
      </c>
      <c r="E119" s="80"/>
      <c r="F119" s="80"/>
      <c r="G119" s="81"/>
      <c r="H119" s="81"/>
    </row>
    <row r="120" spans="2:8" ht="60" hidden="1" customHeight="1">
      <c r="B120" s="100" t="s">
        <v>274</v>
      </c>
      <c r="C120" s="99">
        <v>0.85</v>
      </c>
      <c r="E120" s="80"/>
      <c r="F120" s="80"/>
      <c r="G120" s="81"/>
      <c r="H120" s="81"/>
    </row>
    <row r="121" spans="2:8" ht="60" hidden="1" customHeight="1">
      <c r="B121" s="100" t="s">
        <v>275</v>
      </c>
      <c r="C121" s="99">
        <v>0.85</v>
      </c>
      <c r="E121" s="80"/>
      <c r="F121" s="80"/>
      <c r="G121" s="81"/>
      <c r="H121" s="81"/>
    </row>
    <row r="122" spans="2:8" ht="60" hidden="1" customHeight="1">
      <c r="B122" s="98" t="s">
        <v>276</v>
      </c>
      <c r="C122" s="90">
        <v>0.9</v>
      </c>
      <c r="E122" s="80"/>
      <c r="F122" s="80"/>
      <c r="G122" s="81"/>
      <c r="H122" s="81"/>
    </row>
    <row r="123" spans="2:8" ht="60" hidden="1" customHeight="1">
      <c r="B123" s="98" t="s">
        <v>277</v>
      </c>
      <c r="C123" s="90">
        <v>0.95</v>
      </c>
      <c r="E123" s="80"/>
      <c r="F123" s="80"/>
      <c r="G123" s="81"/>
      <c r="H123" s="81"/>
    </row>
    <row r="124" spans="2:8" ht="60" hidden="1" customHeight="1">
      <c r="B124" s="98" t="s">
        <v>278</v>
      </c>
      <c r="C124" s="90">
        <v>1</v>
      </c>
      <c r="E124" s="80"/>
      <c r="F124" s="80"/>
      <c r="G124" s="81"/>
      <c r="H124" s="81"/>
    </row>
    <row r="125" spans="2:8" ht="20.100000000000001" customHeight="1">
      <c r="B125" s="81"/>
      <c r="C125" s="81"/>
      <c r="E125" s="80"/>
      <c r="F125" s="80"/>
      <c r="G125" s="81"/>
      <c r="H125" s="81"/>
    </row>
    <row r="126" spans="2:8" ht="20.100000000000001" customHeight="1">
      <c r="B126" s="81"/>
      <c r="C126" s="81"/>
      <c r="E126" s="80"/>
      <c r="F126" s="80"/>
      <c r="G126" s="81"/>
      <c r="H126" s="81"/>
    </row>
    <row r="127" spans="2:8" ht="20.100000000000001" customHeight="1">
      <c r="B127" s="81"/>
      <c r="C127" s="81"/>
      <c r="E127" s="80"/>
      <c r="F127" s="80"/>
      <c r="G127" s="81"/>
      <c r="H127" s="81"/>
    </row>
    <row r="128" spans="2:8" ht="20.100000000000001" customHeight="1">
      <c r="B128" s="81"/>
      <c r="C128" s="81"/>
      <c r="E128" s="80"/>
      <c r="F128" s="80"/>
      <c r="G128" s="81"/>
      <c r="H128" s="81"/>
    </row>
    <row r="129" ht="20.100000000000001" customHeight="1"/>
    <row r="130" ht="20.100000000000001" customHeight="1"/>
    <row r="131" ht="20.100000000000001" customHeight="1"/>
    <row r="132" ht="20.100000000000001" customHeight="1"/>
    <row r="133" ht="20.100000000000001" customHeight="1"/>
    <row r="134" ht="20.100000000000001" customHeight="1"/>
    <row r="135" ht="20.100000000000001" customHeight="1"/>
    <row r="136" ht="20.100000000000001" customHeight="1"/>
    <row r="137" ht="20.100000000000001" customHeight="1"/>
    <row r="138" ht="20.100000000000001" customHeight="1"/>
    <row r="139" ht="20.100000000000001" customHeight="1"/>
    <row r="140" ht="20.100000000000001" customHeight="1"/>
    <row r="141" ht="20.100000000000001" customHeight="1"/>
    <row r="142" ht="20.100000000000001" customHeight="1"/>
    <row r="143" ht="20.100000000000001" customHeight="1"/>
    <row r="144" ht="9.9" customHeight="1"/>
    <row r="145" ht="9.9" customHeight="1"/>
    <row r="146" ht="9.9" customHeight="1"/>
    <row r="147" ht="9.9" customHeight="1"/>
    <row r="148" ht="9.9" customHeight="1"/>
    <row r="149" ht="9.9" customHeight="1"/>
    <row r="150" ht="9.9" customHeight="1"/>
    <row r="151" ht="9.9" customHeight="1"/>
    <row r="152" ht="9.9" customHeight="1"/>
    <row r="153" ht="9.9" customHeight="1"/>
    <row r="154" ht="9.9" customHeight="1"/>
    <row r="155" ht="9.9" customHeight="1"/>
    <row r="156" ht="9.9" customHeight="1"/>
    <row r="157" ht="9.9" customHeight="1"/>
    <row r="158" ht="9.9" customHeight="1"/>
    <row r="159" ht="9.9" customHeight="1"/>
  </sheetData>
  <sheetProtection algorithmName="SHA-512" hashValue="PRcQxBTMFAkDlZ0oNZNSxRHBkSdAPzghN8KXvGiXUD22KONnjKwLD90uS+fmIvd9GPPEslmZ5EEqYCdXkmADOQ==" saltValue="y1XBmq/jMAsSQDgVrbEG6Q==" spinCount="100000" sheet="1" objects="1" scenarios="1" selectLockedCells="1"/>
  <dataConsolidate/>
  <mergeCells count="147">
    <mergeCell ref="A2:M2"/>
    <mergeCell ref="N2:R2"/>
    <mergeCell ref="I5:R5"/>
    <mergeCell ref="I7:R7"/>
    <mergeCell ref="I9:R9"/>
    <mergeCell ref="P20:P21"/>
    <mergeCell ref="A21:B21"/>
    <mergeCell ref="C21:F21"/>
    <mergeCell ref="A18:B18"/>
    <mergeCell ref="E13:G13"/>
    <mergeCell ref="C16:D16"/>
    <mergeCell ref="A16:B16"/>
    <mergeCell ref="E16:G16"/>
    <mergeCell ref="A17:B17"/>
    <mergeCell ref="C17:D17"/>
    <mergeCell ref="E17:G17"/>
    <mergeCell ref="A14:G14"/>
    <mergeCell ref="M20:M21"/>
    <mergeCell ref="A19:B19"/>
    <mergeCell ref="L20:L21"/>
    <mergeCell ref="E19:G19"/>
    <mergeCell ref="C19:D19"/>
    <mergeCell ref="A11:G12"/>
    <mergeCell ref="I16:R16"/>
    <mergeCell ref="A10:R10"/>
    <mergeCell ref="A61:C61"/>
    <mergeCell ref="A62:C62"/>
    <mergeCell ref="G31:I32"/>
    <mergeCell ref="J31:J32"/>
    <mergeCell ref="K31:N31"/>
    <mergeCell ref="K32:N32"/>
    <mergeCell ref="G39:I39"/>
    <mergeCell ref="E54:E55"/>
    <mergeCell ref="F54:F55"/>
    <mergeCell ref="O31:R31"/>
    <mergeCell ref="C27:F27"/>
    <mergeCell ref="A53:B56"/>
    <mergeCell ref="C53:D56"/>
    <mergeCell ref="J39:J40"/>
    <mergeCell ref="C37:D52"/>
    <mergeCell ref="A37:B52"/>
    <mergeCell ref="E41:F41"/>
    <mergeCell ref="E51:F51"/>
    <mergeCell ref="I28:R28"/>
    <mergeCell ref="O55:R56"/>
    <mergeCell ref="O37:R37"/>
    <mergeCell ref="K38:N38"/>
    <mergeCell ref="O38:R38"/>
    <mergeCell ref="G55:G56"/>
    <mergeCell ref="E48:F48"/>
    <mergeCell ref="E49:F49"/>
    <mergeCell ref="E50:F50"/>
    <mergeCell ref="E42:F42"/>
    <mergeCell ref="E43:F43"/>
    <mergeCell ref="E44:F44"/>
    <mergeCell ref="E45:F45"/>
    <mergeCell ref="E40:F40"/>
    <mergeCell ref="E39:F39"/>
    <mergeCell ref="A13:B13"/>
    <mergeCell ref="C13:D13"/>
    <mergeCell ref="C24:F24"/>
    <mergeCell ref="C18:G18"/>
    <mergeCell ref="G40:H40"/>
    <mergeCell ref="E46:F46"/>
    <mergeCell ref="E47:F47"/>
    <mergeCell ref="C33:D36"/>
    <mergeCell ref="K37:N37"/>
    <mergeCell ref="E37:F38"/>
    <mergeCell ref="G37:J38"/>
    <mergeCell ref="A15:B15"/>
    <mergeCell ref="C15:G15"/>
    <mergeCell ref="I18:R18"/>
    <mergeCell ref="A20:B20"/>
    <mergeCell ref="C22:F22"/>
    <mergeCell ref="C20:G20"/>
    <mergeCell ref="C25:F25"/>
    <mergeCell ref="A25:B25"/>
    <mergeCell ref="A24:B24"/>
    <mergeCell ref="A22:B22"/>
    <mergeCell ref="C28:F28"/>
    <mergeCell ref="S20:S21"/>
    <mergeCell ref="Q20:Q21"/>
    <mergeCell ref="R20:R21"/>
    <mergeCell ref="A30:R30"/>
    <mergeCell ref="I27:R27"/>
    <mergeCell ref="A27:B27"/>
    <mergeCell ref="A28:B28"/>
    <mergeCell ref="A33:B36"/>
    <mergeCell ref="A26:B26"/>
    <mergeCell ref="C26:F26"/>
    <mergeCell ref="A23:B23"/>
    <mergeCell ref="C23:G23"/>
    <mergeCell ref="I20:I21"/>
    <mergeCell ref="J20:J21"/>
    <mergeCell ref="K20:K21"/>
    <mergeCell ref="N20:N21"/>
    <mergeCell ref="O20:O21"/>
    <mergeCell ref="N61:P61"/>
    <mergeCell ref="Q61:R61"/>
    <mergeCell ref="N62:R62"/>
    <mergeCell ref="E59:G59"/>
    <mergeCell ref="E60:G60"/>
    <mergeCell ref="E61:G61"/>
    <mergeCell ref="E62:G62"/>
    <mergeCell ref="N59:P59"/>
    <mergeCell ref="N60:P60"/>
    <mergeCell ref="J61:L61"/>
    <mergeCell ref="J62:L62"/>
    <mergeCell ref="J59:K60"/>
    <mergeCell ref="L59:M60"/>
    <mergeCell ref="Q59:R59"/>
    <mergeCell ref="D59:D60"/>
    <mergeCell ref="A59:C60"/>
    <mergeCell ref="A58:R58"/>
    <mergeCell ref="O32:R32"/>
    <mergeCell ref="G35:G36"/>
    <mergeCell ref="I35:J36"/>
    <mergeCell ref="G33:G34"/>
    <mergeCell ref="I33:J34"/>
    <mergeCell ref="K33:N34"/>
    <mergeCell ref="O33:R34"/>
    <mergeCell ref="K35:N36"/>
    <mergeCell ref="O35:R36"/>
    <mergeCell ref="C31:D32"/>
    <mergeCell ref="A31:B32"/>
    <mergeCell ref="E34:E35"/>
    <mergeCell ref="F34:F35"/>
    <mergeCell ref="Q60:R60"/>
    <mergeCell ref="G53:G54"/>
    <mergeCell ref="I53:J54"/>
    <mergeCell ref="I55:J56"/>
    <mergeCell ref="K53:N54"/>
    <mergeCell ref="O53:R54"/>
    <mergeCell ref="K55:N56"/>
    <mergeCell ref="E52:F52"/>
    <mergeCell ref="E6:G6"/>
    <mergeCell ref="I6:R6"/>
    <mergeCell ref="E8:G8"/>
    <mergeCell ref="I8:R8"/>
    <mergeCell ref="I3:R4"/>
    <mergeCell ref="E5:G5"/>
    <mergeCell ref="E7:G7"/>
    <mergeCell ref="E9:G9"/>
    <mergeCell ref="A5:D9"/>
    <mergeCell ref="A3:D3"/>
    <mergeCell ref="A4:D4"/>
    <mergeCell ref="E3:G4"/>
  </mergeCells>
  <phoneticPr fontId="9" type="noConversion"/>
  <conditionalFormatting sqref="G22 J31 G39">
    <cfRule type="containsText" dxfId="8" priority="2084" stopIfTrue="1" operator="containsText" text="X">
      <formula>NOT(ISERROR(SEARCH("X",G22)))</formula>
    </cfRule>
  </conditionalFormatting>
  <conditionalFormatting sqref="I20">
    <cfRule type="cellIs" dxfId="7" priority="38" operator="equal">
      <formula>0</formula>
    </cfRule>
  </conditionalFormatting>
  <conditionalFormatting sqref="G21">
    <cfRule type="containsText" dxfId="6" priority="15" stopIfTrue="1" operator="containsText" text="X">
      <formula>NOT(ISERROR(SEARCH("X",G21)))</formula>
    </cfRule>
  </conditionalFormatting>
  <conditionalFormatting sqref="J20:K20 N20:O20 Q20:R20">
    <cfRule type="cellIs" dxfId="5" priority="12" operator="equal">
      <formula>0</formula>
    </cfRule>
  </conditionalFormatting>
  <conditionalFormatting sqref="S20">
    <cfRule type="cellIs" dxfId="4" priority="11" operator="equal">
      <formula>0</formula>
    </cfRule>
  </conditionalFormatting>
  <conditionalFormatting sqref="G37">
    <cfRule type="containsText" dxfId="3" priority="7" stopIfTrue="1" operator="containsText" text="X">
      <formula>NOT(ISERROR(SEARCH("X",G37)))</formula>
    </cfRule>
  </conditionalFormatting>
  <conditionalFormatting sqref="L20">
    <cfRule type="cellIs" dxfId="2" priority="6" operator="equal">
      <formula>0</formula>
    </cfRule>
  </conditionalFormatting>
  <conditionalFormatting sqref="M20">
    <cfRule type="cellIs" dxfId="1" priority="5" operator="equal">
      <formula>0</formula>
    </cfRule>
  </conditionalFormatting>
  <conditionalFormatting sqref="P20">
    <cfRule type="cellIs" dxfId="0" priority="3" operator="equal">
      <formula>0</formula>
    </cfRule>
  </conditionalFormatting>
  <dataValidations count="23">
    <dataValidation operator="greaterThanOrEqual" allowBlank="1" showInputMessage="1" showErrorMessage="1" sqref="H42:H52" xr:uid="{8946DC61-4820-44C4-901D-55F4CEB310E0}"/>
    <dataValidation type="list" allowBlank="1" showInputMessage="1" showErrorMessage="1" promptTitle="Edilizia" sqref="I15" xr:uid="{DCCA63FE-9543-471B-B2C4-CAB4AC884F7D}">
      <formula1>$B$64:$B$85</formula1>
    </dataValidation>
    <dataValidation type="list" allowBlank="1" showInputMessage="1" showErrorMessage="1" promptTitle="Strutture" sqref="J15" xr:uid="{654F6663-FD11-4EF4-90F9-E1111479C5D4}">
      <formula1>$B$86:$B$91</formula1>
    </dataValidation>
    <dataValidation type="list" allowBlank="1" showInputMessage="1" showErrorMessage="1" promptTitle="Impianti" sqref="K15:M15" xr:uid="{7089D24D-E801-4D09-8565-EB5D5EF3C084}">
      <formula1>$B$92:$B$104</formula1>
    </dataValidation>
    <dataValidation type="list" allowBlank="1" showInputMessage="1" showErrorMessage="1" promptTitle="Viabilità" sqref="N15" xr:uid="{EA8BBDEE-6037-402D-9937-EC5F4D6CC464}">
      <formula1>$B$105:$B$107</formula1>
    </dataValidation>
    <dataValidation type="list" allowBlank="1" showInputMessage="1" showErrorMessage="1" promptTitle="Idraulica" sqref="O15:P15" xr:uid="{B4051AD5-130E-4D2C-9134-5CC8AFF91C33}">
      <formula1>$B$108:$B$112</formula1>
    </dataValidation>
    <dataValidation type="list" allowBlank="1" showInputMessage="1" showErrorMessage="1" promptTitle="TIC" sqref="Q15" xr:uid="{E5F9F439-78A6-4536-900A-183FDB338B6F}">
      <formula1>$B$113:$B$115</formula1>
    </dataValidation>
    <dataValidation type="list" allowBlank="1" showInputMessage="1" showErrorMessage="1" promptTitle="Paesaggio" sqref="R15" xr:uid="{AADC138A-093D-4B52-AFF2-9F70E9008D7F}">
      <formula1>$B$116:$B$121</formula1>
    </dataValidation>
    <dataValidation type="list" allowBlank="1" showInputMessage="1" showErrorMessage="1" sqref="H22" xr:uid="{0D82E2EB-03D9-4976-AE8D-42DAC396C044}">
      <formula1>$E$66:$E$67</formula1>
    </dataValidation>
    <dataValidation type="list" allowBlank="1" showInputMessage="1" showErrorMessage="1" error="SELEZIONARE DAL MENU A TENDINA" sqref="G21" xr:uid="{DD093B21-F2D4-40CE-9C03-55F3CF6BB4EC}">
      <formula1>$F$64:$F$65</formula1>
    </dataValidation>
    <dataValidation type="decimal" allowBlank="1" showInputMessage="1" showErrorMessage="1" errorTitle="SUPERATO VALORE MASSIMO" error="Sono consentiti solo valori dell'Affare compresi tra 0,01 € e 1.024.000.000,00 €." sqref="G37:J38" xr:uid="{17DC33F4-6BF6-4B39-B79C-977C67F40139}">
      <formula1>0</formula1>
      <formula2>1024000000</formula2>
    </dataValidation>
    <dataValidation type="decimal" operator="greaterThanOrEqual" allowBlank="1" showInputMessage="1" showErrorMessage="1" error="IMMETTERE UN NUMERO INTERO O DECIMALE MAGGIORE DI ZERO" sqref="Q59:R60" xr:uid="{DB5F5137-B75F-4D71-A6EB-FE96A0267923}">
      <formula1>0</formula1>
    </dataValidation>
    <dataValidation type="decimal" operator="greaterThanOrEqual" allowBlank="1" showInputMessage="1" showErrorMessage="1" error="INSERIRE UN NUMERO INTERO O DECIMALE MAGGIORE O UGUALE A ZERO" sqref="I13:R13" xr:uid="{0D793D5C-C546-4A6C-AC14-FBB95EFF6AAA}">
      <formula1>0</formula1>
    </dataValidation>
    <dataValidation type="list" allowBlank="1" showInputMessage="1" showErrorMessage="1" error="SELEZIONARE DAL MENU A TENDINA" promptTitle="Edilizia" sqref="I14" xr:uid="{B1A8A822-B2D6-4007-8255-8E0FACA32979}">
      <formula1>$B$64:$B$85</formula1>
    </dataValidation>
    <dataValidation type="list" allowBlank="1" showInputMessage="1" showErrorMessage="1" error="SELEZIONARE DAL MENU A TENDINA" promptTitle="Strutture" sqref="J14" xr:uid="{A6EC1C79-1DCF-479F-847E-87D8889511D5}">
      <formula1>$B$86:$B$91</formula1>
    </dataValidation>
    <dataValidation type="list" allowBlank="1" showInputMessage="1" showErrorMessage="1" error="SELEZIONARE DAL MENU A TENDINA" promptTitle="Impianti" sqref="K14:M14" xr:uid="{A289C5CA-2E4D-4E99-A9E1-76A64CCFDCED}">
      <formula1>$B$92:$B$104</formula1>
    </dataValidation>
    <dataValidation type="list" allowBlank="1" showInputMessage="1" showErrorMessage="1" error="SELEZIONARE DAL MENU A TENDINA" promptTitle="Viabilità" sqref="N14" xr:uid="{246B1971-4BA1-4F3F-A35E-5616440D6E57}">
      <formula1>$B$105:$B$107</formula1>
    </dataValidation>
    <dataValidation type="list" allowBlank="1" showInputMessage="1" showErrorMessage="1" error="SELEZIONARE DAL MENU A TENDINA" promptTitle="Idraulica" sqref="O14:P14" xr:uid="{6B187CB6-50B7-4EF9-9F1F-60C07927294A}">
      <formula1>$B$108:$B$112</formula1>
    </dataValidation>
    <dataValidation type="list" allowBlank="1" showInputMessage="1" showErrorMessage="1" error="SELEZIONARE DAL MENU A TENDINA" promptTitle="TIC" sqref="Q14" xr:uid="{037DD6E4-ADA1-4CFB-B717-191325938B4E}">
      <formula1>$B$113:$B$115</formula1>
    </dataValidation>
    <dataValidation type="list" allowBlank="1" showInputMessage="1" showErrorMessage="1" error="SELEZIONARE DAL MENU A TENDINA" promptTitle="Paesaggio" sqref="R14" xr:uid="{AB51B89D-5ADD-4EFD-A63D-51472D1DF3B4}">
      <formula1>$B$116:$B$121</formula1>
    </dataValidation>
    <dataValidation type="list" allowBlank="1" showInputMessage="1" showErrorMessage="1" error="SELEZIONARE DAL MENU A TENDINA" sqref="G22" xr:uid="{88ACE63B-BB9A-4278-BDA4-BE720D836D64}">
      <formula1>$E$66:$E$67</formula1>
    </dataValidation>
    <dataValidation type="list" allowBlank="1" showInputMessage="1" showErrorMessage="1" error="SELEZIONARE DAL MENU A TENDINA" sqref="D59:D60" xr:uid="{7E2A8EDC-0A6C-4435-939A-9568AA036281}">
      <formula1>$F$66:$F$67</formula1>
    </dataValidation>
    <dataValidation type="whole" operator="greaterThanOrEqual" allowBlank="1" showInputMessage="1" showErrorMessage="1" error="INSERIRE UN NUMERO INTERO MAGGIORE O UGUALE DI ZERO" sqref="J31:J32" xr:uid="{32F1D32A-C40F-47FA-B019-8FC12FF9A922}">
      <formula1>0</formula1>
    </dataValidation>
  </dataValidations>
  <pageMargins left="0.70866141732283472" right="0.70866141732283472" top="0.74803149606299213" bottom="0.74803149606299213" header="0.31496062992125984" footer="0.31496062992125984"/>
  <pageSetup paperSize="9" scale="24" orientation="portrait" horizontalDpi="300" verticalDpi="300" r:id="rId1"/>
  <ignoredErrors>
    <ignoredError sqref="G39 S17 J19:S19 I9" unlockedFormula="1"/>
    <ignoredError sqref="G28" numberStoredAsText="1"/>
    <ignoredError sqref="L20" formula="1"/>
    <ignoredError sqref="I44" evalError="1" formula="1"/>
    <ignoredError sqref="I43:J43 I45:J52 J44" evalError="1"/>
  </ignoredError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53CBB0-5510-4499-AF76-3E142230216A}">
  <sheetPr>
    <pageSetUpPr fitToPage="1"/>
  </sheetPr>
  <dimension ref="A1:M54"/>
  <sheetViews>
    <sheetView topLeftCell="A35" zoomScale="80" zoomScaleNormal="80" workbookViewId="0">
      <selection activeCell="G20" sqref="G20"/>
    </sheetView>
  </sheetViews>
  <sheetFormatPr defaultRowHeight="13.2"/>
  <cols>
    <col min="1" max="1" width="15.6640625" style="76" customWidth="1"/>
    <col min="2" max="2" width="15.6640625" customWidth="1"/>
    <col min="3" max="3" width="52" customWidth="1"/>
    <col min="4" max="4" width="28.6640625" style="76" hidden="1" customWidth="1"/>
    <col min="5" max="5" width="9.33203125" style="76" customWidth="1"/>
    <col min="6" max="11" width="30.6640625" style="76" customWidth="1"/>
    <col min="12" max="12" width="14.33203125" style="192" bestFit="1" customWidth="1"/>
    <col min="13" max="13" width="11.44140625" bestFit="1" customWidth="1"/>
  </cols>
  <sheetData>
    <row r="1" spans="1:11" s="192" customFormat="1" ht="39.9" customHeight="1" thickBot="1">
      <c r="A1" s="654" t="s">
        <v>429</v>
      </c>
      <c r="B1" s="655"/>
      <c r="C1" s="655"/>
      <c r="D1" s="655"/>
      <c r="E1" s="655"/>
      <c r="F1" s="655"/>
      <c r="G1" s="655"/>
      <c r="H1" s="655"/>
      <c r="I1" s="655"/>
      <c r="J1" s="655"/>
      <c r="K1" s="656"/>
    </row>
    <row r="2" spans="1:11" s="192" customFormat="1" ht="30" customHeight="1">
      <c r="A2" s="631" t="s">
        <v>433</v>
      </c>
      <c r="B2" s="633" t="s">
        <v>459</v>
      </c>
      <c r="C2" s="629" t="s">
        <v>432</v>
      </c>
      <c r="D2" s="287"/>
      <c r="E2" s="650" t="s">
        <v>460</v>
      </c>
      <c r="F2" s="651"/>
      <c r="G2" s="619"/>
      <c r="H2" s="619"/>
      <c r="I2" s="619"/>
      <c r="J2" s="619"/>
      <c r="K2" s="619"/>
    </row>
    <row r="3" spans="1:11" s="192" customFormat="1" ht="30" hidden="1" customHeight="1" thickBot="1">
      <c r="A3" s="632"/>
      <c r="B3" s="634"/>
      <c r="C3" s="630"/>
      <c r="D3" s="288"/>
      <c r="E3" s="642">
        <v>18</v>
      </c>
      <c r="F3" s="643"/>
      <c r="G3" s="289">
        <v>2</v>
      </c>
      <c r="H3" s="289"/>
      <c r="I3" s="292"/>
      <c r="J3" s="292"/>
      <c r="K3" s="290">
        <v>2021</v>
      </c>
    </row>
    <row r="4" spans="1:11" s="268" customFormat="1" ht="39.9" customHeight="1">
      <c r="A4" s="644" t="str">
        <f>+'Calcolo compensi CCT'!E3</f>
        <v>LOCALITA'  ------------ &gt;&gt;&gt;</v>
      </c>
      <c r="B4" s="645"/>
      <c r="C4" s="645"/>
      <c r="D4" s="646" t="str">
        <f>IF(+'Calcolo compensi CCT'!I3=0,"",+'Calcolo compensi CCT'!I3)</f>
        <v>NOME LOCALITA'</v>
      </c>
      <c r="E4" s="646"/>
      <c r="F4" s="647"/>
      <c r="G4" s="648"/>
      <c r="H4" s="648"/>
      <c r="I4" s="648"/>
      <c r="J4" s="648"/>
      <c r="K4" s="649"/>
    </row>
    <row r="5" spans="1:11" s="268" customFormat="1" ht="39.9" customHeight="1">
      <c r="A5" s="644" t="str">
        <f>+'Calcolo compensi CCT'!E8</f>
        <v>LAVORO  ------------ &gt;&gt;&gt;</v>
      </c>
      <c r="B5" s="645"/>
      <c r="C5" s="645"/>
      <c r="D5" s="279"/>
      <c r="E5" s="646" t="str">
        <f>+'Calcolo compensi CCT'!I8</f>
        <v>DESCRIZIONE DEI LAVORI</v>
      </c>
      <c r="F5" s="646"/>
      <c r="G5" s="647"/>
      <c r="H5" s="648"/>
      <c r="I5" s="648"/>
      <c r="J5" s="648"/>
      <c r="K5" s="649"/>
    </row>
    <row r="6" spans="1:11" s="268" customFormat="1" ht="39.9" customHeight="1">
      <c r="A6" s="644" t="str">
        <f>+'Calcolo compensi CCT'!E5</f>
        <v>STAZIONE APPALTANTE  ------------ &gt;&gt;&gt;</v>
      </c>
      <c r="B6" s="645"/>
      <c r="C6" s="645"/>
      <c r="D6" s="646" t="str">
        <f>IF(+'Calcolo compensi CCT'!I5=0,"",+'Calcolo compensi CCT'!I5)</f>
        <v>DENOMINAZIONE STAZIONE APPALTANTE</v>
      </c>
      <c r="E6" s="646"/>
      <c r="F6" s="647"/>
      <c r="G6" s="648"/>
      <c r="H6" s="648"/>
      <c r="I6" s="648"/>
      <c r="J6" s="648"/>
      <c r="K6" s="649"/>
    </row>
    <row r="7" spans="1:11" s="268" customFormat="1" ht="39.9" customHeight="1">
      <c r="A7" s="644" t="str">
        <f>+'Calcolo compensi CCT'!E7</f>
        <v>OPERATORE ECONOMICO  ------------ &gt;&gt;&gt;</v>
      </c>
      <c r="B7" s="645"/>
      <c r="C7" s="645"/>
      <c r="D7" s="646" t="str">
        <f>IF(+'Calcolo compensi CCT'!I7=0,"",+'Calcolo compensi CCT'!I7)</f>
        <v>RAGIONE SOCIALE OPERATORE ECONOMICO</v>
      </c>
      <c r="E7" s="646"/>
      <c r="F7" s="647"/>
      <c r="G7" s="648"/>
      <c r="H7" s="648"/>
      <c r="I7" s="648"/>
      <c r="J7" s="648"/>
      <c r="K7" s="649"/>
    </row>
    <row r="8" spans="1:11" s="268" customFormat="1" ht="39.9" customHeight="1">
      <c r="A8" s="635" t="str">
        <f>+'Calcolo compensi CCT'!E6</f>
        <v>R.U.P.  ------------ &gt;&gt;&gt;</v>
      </c>
      <c r="B8" s="636"/>
      <c r="C8" s="637"/>
      <c r="D8" s="638" t="str">
        <f>+'Calcolo compensi CCT'!I6</f>
        <v>NOMINATIVO RUP</v>
      </c>
      <c r="E8" s="639"/>
      <c r="F8" s="640"/>
      <c r="G8" s="640"/>
      <c r="H8" s="640"/>
      <c r="I8" s="640"/>
      <c r="J8" s="640"/>
      <c r="K8" s="641"/>
    </row>
    <row r="9" spans="1:11" s="268" customFormat="1" ht="39.9" customHeight="1">
      <c r="A9" s="644" t="str">
        <f>+'Calcolo compensi CCT'!E9</f>
        <v>IMPORTO LAVORI  ------------ &gt;&gt;&gt;</v>
      </c>
      <c r="B9" s="645"/>
      <c r="C9" s="645"/>
      <c r="D9" s="665">
        <f>IF(+'Calcolo compensi CCT'!I9=0,"",+'Calcolo compensi CCT'!I9)</f>
        <v>12000000</v>
      </c>
      <c r="E9" s="665"/>
      <c r="F9" s="666"/>
      <c r="G9" s="667"/>
      <c r="H9" s="667"/>
      <c r="I9" s="667"/>
      <c r="J9" s="667"/>
      <c r="K9" s="668"/>
    </row>
    <row r="10" spans="1:11" s="268" customFormat="1" ht="39.9" hidden="1" customHeight="1">
      <c r="A10" s="679" t="str">
        <f>+'Calcolo compensi CCT'!A59</f>
        <v>NUMERO DEI COMPONENTI DEL CCT ------------ &gt;&gt;&gt;</v>
      </c>
      <c r="B10" s="680"/>
      <c r="C10" s="680"/>
      <c r="D10" s="669">
        <f>IF(+'Calcolo compensi CCT'!D60=57,"",+'Calcolo compensi CCT'!D59)</f>
        <v>3</v>
      </c>
      <c r="E10" s="670"/>
      <c r="F10" s="671"/>
      <c r="G10" s="671"/>
      <c r="H10" s="671"/>
      <c r="I10" s="671"/>
      <c r="J10" s="671"/>
      <c r="K10" s="672"/>
    </row>
    <row r="11" spans="1:11" s="268" customFormat="1" ht="39.9" customHeight="1">
      <c r="A11" s="635" t="s">
        <v>435</v>
      </c>
      <c r="B11" s="636"/>
      <c r="C11" s="637"/>
      <c r="D11" s="650" t="s">
        <v>458</v>
      </c>
      <c r="E11" s="651"/>
      <c r="F11" s="619"/>
      <c r="G11" s="619"/>
      <c r="H11" s="619"/>
      <c r="I11" s="619"/>
      <c r="J11" s="619"/>
      <c r="K11" s="620"/>
    </row>
    <row r="12" spans="1:11" s="268" customFormat="1" ht="39.9" customHeight="1">
      <c r="A12" s="635" t="s">
        <v>449</v>
      </c>
      <c r="B12" s="636"/>
      <c r="C12" s="637"/>
      <c r="D12" s="650" t="s">
        <v>461</v>
      </c>
      <c r="E12" s="651"/>
      <c r="F12" s="619"/>
      <c r="G12" s="619"/>
      <c r="H12" s="619"/>
      <c r="I12" s="619"/>
      <c r="J12" s="619"/>
      <c r="K12" s="620"/>
    </row>
    <row r="13" spans="1:11" s="268" customFormat="1" ht="39.9" customHeight="1">
      <c r="A13" s="635" t="s">
        <v>450</v>
      </c>
      <c r="B13" s="636"/>
      <c r="C13" s="637"/>
      <c r="D13" s="314" t="s">
        <v>462</v>
      </c>
      <c r="E13" s="618" t="s">
        <v>462</v>
      </c>
      <c r="F13" s="652"/>
      <c r="G13" s="652"/>
      <c r="H13" s="652"/>
      <c r="I13" s="652"/>
      <c r="J13" s="652"/>
      <c r="K13" s="653"/>
    </row>
    <row r="14" spans="1:11" s="268" customFormat="1" ht="39.9" customHeight="1">
      <c r="A14" s="635" t="s">
        <v>436</v>
      </c>
      <c r="B14" s="636"/>
      <c r="C14" s="637"/>
      <c r="D14" s="617" t="s">
        <v>463</v>
      </c>
      <c r="E14" s="618"/>
      <c r="F14" s="619"/>
      <c r="G14" s="619"/>
      <c r="H14" s="619"/>
      <c r="I14" s="619"/>
      <c r="J14" s="619"/>
      <c r="K14" s="620"/>
    </row>
    <row r="15" spans="1:11" s="268" customFormat="1" ht="39.9" customHeight="1">
      <c r="A15" s="635" t="s">
        <v>437</v>
      </c>
      <c r="B15" s="636"/>
      <c r="C15" s="637"/>
      <c r="D15" s="617" t="s">
        <v>464</v>
      </c>
      <c r="E15" s="618"/>
      <c r="F15" s="619"/>
      <c r="G15" s="619"/>
      <c r="H15" s="619"/>
      <c r="I15" s="619"/>
      <c r="J15" s="619"/>
      <c r="K15" s="620"/>
    </row>
    <row r="16" spans="1:11" s="191" customFormat="1" ht="40.5" customHeight="1">
      <c r="A16" s="298" t="s">
        <v>360</v>
      </c>
      <c r="B16" s="300" t="s">
        <v>365</v>
      </c>
      <c r="C16" s="302" t="s">
        <v>366</v>
      </c>
      <c r="D16" s="275" t="s">
        <v>438</v>
      </c>
      <c r="E16" s="621" t="s">
        <v>439</v>
      </c>
      <c r="F16" s="304" t="s">
        <v>451</v>
      </c>
      <c r="G16" s="305"/>
      <c r="H16" s="305"/>
      <c r="I16" s="305"/>
      <c r="J16" s="305"/>
      <c r="K16" s="306"/>
    </row>
    <row r="17" spans="1:12" s="191" customFormat="1" ht="40.5" customHeight="1">
      <c r="A17" s="299"/>
      <c r="B17" s="301"/>
      <c r="C17" s="303"/>
      <c r="D17" s="275"/>
      <c r="E17" s="622"/>
      <c r="F17" s="274" t="str">
        <f>+D11</f>
        <v>NOMINATIVO PRESIDENTE</v>
      </c>
      <c r="G17" s="293" t="str">
        <f>+D12</f>
        <v>NOMINATIVO COMPONENTE N.1</v>
      </c>
      <c r="H17" s="294" t="str">
        <f>+D13</f>
        <v>NOMINATIVO COMPONENTE N. 2</v>
      </c>
      <c r="I17" s="294" t="str">
        <f>+D14</f>
        <v>NOMINATIVO COMPONENTE N. 3</v>
      </c>
      <c r="J17" s="294" t="str">
        <f>+D15</f>
        <v>NOMINATIVO COMPONENTE N. 4</v>
      </c>
      <c r="K17" s="276" t="s">
        <v>452</v>
      </c>
    </row>
    <row r="18" spans="1:12" ht="39.9" customHeight="1">
      <c r="A18" s="194">
        <v>1</v>
      </c>
      <c r="B18" s="195" t="s">
        <v>324</v>
      </c>
      <c r="C18" s="196" t="s">
        <v>378</v>
      </c>
      <c r="D18" s="222">
        <f>+'Calcolo compensi CCT'!I27</f>
        <v>27705.859036916023</v>
      </c>
      <c r="E18" s="622"/>
      <c r="F18" s="307"/>
      <c r="G18" s="222">
        <f>+$D$18</f>
        <v>27705.859036916023</v>
      </c>
      <c r="H18" s="222">
        <f>+$D$18</f>
        <v>27705.859036916023</v>
      </c>
      <c r="I18" s="222" t="str">
        <f>+IF('Calcolo compensi CCT'!$D$59=3,"- - - -",$D$18)</f>
        <v>- - - -</v>
      </c>
      <c r="J18" s="222" t="str">
        <f>+IF('Calcolo compensi CCT'!$D$59=3,"- - - -",$D$18)</f>
        <v>- - - -</v>
      </c>
      <c r="K18" s="269">
        <f>SUM(G18:J18)</f>
        <v>55411.718073832046</v>
      </c>
      <c r="L18" s="295"/>
    </row>
    <row r="19" spans="1:12" ht="39.9" customHeight="1">
      <c r="A19" s="194" t="s">
        <v>414</v>
      </c>
      <c r="B19" s="195" t="s">
        <v>403</v>
      </c>
      <c r="C19" s="196" t="s">
        <v>404</v>
      </c>
      <c r="D19" s="222">
        <f>+D18*0.2</f>
        <v>5541.1718073832053</v>
      </c>
      <c r="E19" s="622"/>
      <c r="F19" s="307"/>
      <c r="G19" s="197">
        <f>+$D$19</f>
        <v>5541.1718073832053</v>
      </c>
      <c r="H19" s="197">
        <f>+$D$19</f>
        <v>5541.1718073832053</v>
      </c>
      <c r="I19" s="197" t="str">
        <f>+IF('Calcolo compensi CCT'!$D$59=3,"- - - -",$D$19)</f>
        <v>- - - -</v>
      </c>
      <c r="J19" s="197" t="str">
        <f>+IF('Calcolo compensi CCT'!$D$59=3,"- - - -",$D$19)</f>
        <v>- - - -</v>
      </c>
      <c r="K19" s="311">
        <f>SUM(G19:J19)</f>
        <v>11082.343614766411</v>
      </c>
      <c r="L19" s="296" t="s">
        <v>295</v>
      </c>
    </row>
    <row r="20" spans="1:12" ht="39.9" customHeight="1">
      <c r="A20" s="194" t="s">
        <v>468</v>
      </c>
      <c r="B20" s="195" t="s">
        <v>469</v>
      </c>
      <c r="C20" s="196" t="s">
        <v>472</v>
      </c>
      <c r="D20" s="222"/>
      <c r="E20" s="622"/>
      <c r="F20" s="307"/>
      <c r="G20" s="313">
        <v>0</v>
      </c>
      <c r="H20" s="197">
        <f>+G20</f>
        <v>0</v>
      </c>
      <c r="I20" s="197" t="str">
        <f>+IF('Calcolo compensi CCT'!$D$59=3,"- - - -",$H$20)</f>
        <v>- - - -</v>
      </c>
      <c r="J20" s="197" t="str">
        <f>+IF('Calcolo compensi CCT'!$D$59=3,"- - - -",$H$20)</f>
        <v>- - - -</v>
      </c>
      <c r="K20" s="311">
        <f>SUM(G20:J20)</f>
        <v>0</v>
      </c>
      <c r="L20" s="296"/>
    </row>
    <row r="21" spans="1:12" ht="39.9" customHeight="1">
      <c r="A21" s="194">
        <v>2</v>
      </c>
      <c r="B21" s="195" t="s">
        <v>346</v>
      </c>
      <c r="C21" s="196" t="s">
        <v>379</v>
      </c>
      <c r="D21" s="222">
        <f>+'Calcolo compensi CCT'!I28</f>
        <v>30476.444940607627</v>
      </c>
      <c r="E21" s="622"/>
      <c r="F21" s="222">
        <f>+D21</f>
        <v>30476.444940607627</v>
      </c>
      <c r="G21" s="307"/>
      <c r="H21" s="307"/>
      <c r="I21" s="307"/>
      <c r="J21" s="307"/>
      <c r="K21" s="269">
        <f>+F21</f>
        <v>30476.444940607627</v>
      </c>
      <c r="L21" s="296" t="s">
        <v>295</v>
      </c>
    </row>
    <row r="22" spans="1:12" ht="39.9" customHeight="1">
      <c r="A22" s="194" t="s">
        <v>415</v>
      </c>
      <c r="B22" s="195" t="s">
        <v>405</v>
      </c>
      <c r="C22" s="196" t="s">
        <v>406</v>
      </c>
      <c r="D22" s="222">
        <f>+D21*0.2</f>
        <v>6095.288988121526</v>
      </c>
      <c r="E22" s="622"/>
      <c r="F22" s="197">
        <f>+F21*0.2</f>
        <v>6095.288988121526</v>
      </c>
      <c r="G22" s="307"/>
      <c r="H22" s="307"/>
      <c r="I22" s="307"/>
      <c r="J22" s="307"/>
      <c r="K22" s="311">
        <f>+F22</f>
        <v>6095.288988121526</v>
      </c>
    </row>
    <row r="23" spans="1:12" ht="39.9" customHeight="1">
      <c r="A23" s="194" t="s">
        <v>470</v>
      </c>
      <c r="B23" s="195" t="s">
        <v>471</v>
      </c>
      <c r="C23" s="196" t="s">
        <v>472</v>
      </c>
      <c r="D23" s="222"/>
      <c r="E23" s="623"/>
      <c r="F23" s="313">
        <v>0</v>
      </c>
      <c r="G23" s="307"/>
      <c r="H23" s="307"/>
      <c r="I23" s="307"/>
      <c r="J23" s="307"/>
      <c r="K23" s="311">
        <f>+F23</f>
        <v>0</v>
      </c>
    </row>
    <row r="24" spans="1:12" ht="39.9" customHeight="1">
      <c r="A24" s="198">
        <v>3</v>
      </c>
      <c r="B24" s="199" t="s">
        <v>356</v>
      </c>
      <c r="C24" s="200" t="s">
        <v>417</v>
      </c>
      <c r="D24" s="201">
        <f>+'Calcolo compensi CCT'!O31</f>
        <v>3750</v>
      </c>
      <c r="E24" s="277">
        <v>3</v>
      </c>
      <c r="F24" s="308"/>
      <c r="G24" s="201">
        <f>+D24</f>
        <v>3750</v>
      </c>
      <c r="H24" s="201">
        <f>+G24</f>
        <v>3750</v>
      </c>
      <c r="I24" s="201" t="str">
        <f>+IF('Calcolo compensi CCT'!$D$59=3,"- - - -",$G$24)</f>
        <v>- - - -</v>
      </c>
      <c r="J24" s="201" t="str">
        <f>+IF('Calcolo compensi CCT'!$D$59=3,"- - - -",$G$24)</f>
        <v>- - - -</v>
      </c>
      <c r="K24" s="202">
        <f>SUM(G24:J24)</f>
        <v>7500</v>
      </c>
    </row>
    <row r="25" spans="1:12" ht="39.9" customHeight="1">
      <c r="A25" s="198">
        <v>4</v>
      </c>
      <c r="B25" s="199" t="s">
        <v>357</v>
      </c>
      <c r="C25" s="200" t="s">
        <v>418</v>
      </c>
      <c r="D25" s="201">
        <f>+'Calcolo compensi CCT'!I33</f>
        <v>679.6875</v>
      </c>
      <c r="E25" s="277">
        <v>3</v>
      </c>
      <c r="F25" s="308"/>
      <c r="G25" s="201">
        <f>+D25</f>
        <v>679.6875</v>
      </c>
      <c r="H25" s="201">
        <f>+G25</f>
        <v>679.6875</v>
      </c>
      <c r="I25" s="201" t="str">
        <f>+IF('Calcolo compensi CCT'!$D$59=3,"- - - -",$G$25)</f>
        <v>- - - -</v>
      </c>
      <c r="J25" s="201" t="str">
        <f>+IF('Calcolo compensi CCT'!$D$59=3,"- - - -",$G$25)</f>
        <v>- - - -</v>
      </c>
      <c r="K25" s="202">
        <f>SUM(G25:J25)</f>
        <v>1359.375</v>
      </c>
    </row>
    <row r="26" spans="1:12" ht="39.9" customHeight="1">
      <c r="A26" s="198" t="s">
        <v>410</v>
      </c>
      <c r="B26" s="199" t="s">
        <v>407</v>
      </c>
      <c r="C26" s="200" t="s">
        <v>419</v>
      </c>
      <c r="D26" s="270">
        <f>+D25+D24</f>
        <v>4429.6875</v>
      </c>
      <c r="E26" s="277">
        <v>3</v>
      </c>
      <c r="F26" s="308"/>
      <c r="G26" s="270">
        <f>+D26</f>
        <v>4429.6875</v>
      </c>
      <c r="H26" s="270">
        <f>+D26</f>
        <v>4429.6875</v>
      </c>
      <c r="I26" s="270" t="str">
        <f>+IF('Calcolo compensi CCT'!$D$59=3,"- - - -",$G$26)</f>
        <v>- - - -</v>
      </c>
      <c r="J26" s="270" t="str">
        <f>+IF('Calcolo compensi CCT'!$D$59=3,"- - - -",$G$26)</f>
        <v>- - - -</v>
      </c>
      <c r="K26" s="271">
        <f>SUM(G26:J26)</f>
        <v>8859.375</v>
      </c>
    </row>
    <row r="27" spans="1:12" ht="39.9" customHeight="1">
      <c r="A27" s="198">
        <v>5</v>
      </c>
      <c r="B27" s="199" t="s">
        <v>358</v>
      </c>
      <c r="C27" s="200" t="s">
        <v>416</v>
      </c>
      <c r="D27" s="201">
        <f>+'Calcolo compensi CCT'!O32</f>
        <v>4125</v>
      </c>
      <c r="E27" s="277">
        <v>3</v>
      </c>
      <c r="F27" s="201">
        <f>+D27</f>
        <v>4125</v>
      </c>
      <c r="G27" s="308"/>
      <c r="H27" s="308"/>
      <c r="I27" s="308"/>
      <c r="J27" s="308"/>
      <c r="K27" s="202">
        <f>+F27</f>
        <v>4125</v>
      </c>
    </row>
    <row r="28" spans="1:12" ht="39.9" customHeight="1">
      <c r="A28" s="198">
        <v>6</v>
      </c>
      <c r="B28" s="199" t="s">
        <v>359</v>
      </c>
      <c r="C28" s="200" t="s">
        <v>420</v>
      </c>
      <c r="D28" s="201">
        <f>+'Calcolo compensi CCT'!I35</f>
        <v>747.65625</v>
      </c>
      <c r="E28" s="277">
        <v>3</v>
      </c>
      <c r="F28" s="201">
        <f>+D28</f>
        <v>747.65625</v>
      </c>
      <c r="G28" s="308"/>
      <c r="H28" s="308"/>
      <c r="I28" s="308"/>
      <c r="J28" s="308"/>
      <c r="K28" s="202">
        <f>+F28</f>
        <v>747.65625</v>
      </c>
    </row>
    <row r="29" spans="1:12" ht="39.9" customHeight="1">
      <c r="A29" s="198" t="s">
        <v>411</v>
      </c>
      <c r="B29" s="199" t="s">
        <v>407</v>
      </c>
      <c r="C29" s="200" t="s">
        <v>421</v>
      </c>
      <c r="D29" s="270">
        <f>+D28+D27</f>
        <v>4872.65625</v>
      </c>
      <c r="E29" s="277">
        <v>3</v>
      </c>
      <c r="F29" s="270">
        <f>+F28+F27</f>
        <v>4872.65625</v>
      </c>
      <c r="G29" s="308"/>
      <c r="H29" s="308"/>
      <c r="I29" s="308"/>
      <c r="J29" s="308"/>
      <c r="K29" s="271">
        <f>+F29</f>
        <v>4872.65625</v>
      </c>
    </row>
    <row r="30" spans="1:12" ht="39.9" customHeight="1">
      <c r="A30" s="203">
        <v>7</v>
      </c>
      <c r="B30" s="204" t="s">
        <v>361</v>
      </c>
      <c r="C30" s="205" t="s">
        <v>422</v>
      </c>
      <c r="D30" s="206">
        <f>+'Calcolo compensi CCT'!O37</f>
        <v>6713.8125</v>
      </c>
      <c r="E30" s="277">
        <v>1</v>
      </c>
      <c r="F30" s="309"/>
      <c r="G30" s="206">
        <f>+$D$30</f>
        <v>6713.8125</v>
      </c>
      <c r="H30" s="206">
        <f>+$D$30</f>
        <v>6713.8125</v>
      </c>
      <c r="I30" s="206" t="str">
        <f>+IF('Calcolo compensi CCT'!$D$59=3,"- - - -",$D$30)</f>
        <v>- - - -</v>
      </c>
      <c r="J30" s="206" t="str">
        <f>+IF('Calcolo compensi CCT'!$D$59=3,"- - - -",$D$30)</f>
        <v>- - - -</v>
      </c>
      <c r="K30" s="207">
        <f>SUM(G30:J30)</f>
        <v>13427.625</v>
      </c>
      <c r="L30" s="296" t="s">
        <v>295</v>
      </c>
    </row>
    <row r="31" spans="1:12" ht="39.9" customHeight="1">
      <c r="A31" s="203">
        <v>8</v>
      </c>
      <c r="B31" s="204" t="s">
        <v>362</v>
      </c>
      <c r="C31" s="205" t="s">
        <v>423</v>
      </c>
      <c r="D31" s="206">
        <f>+'Calcolo compensi CCT'!I53</f>
        <v>1216.8785156249999</v>
      </c>
      <c r="E31" s="277">
        <v>1</v>
      </c>
      <c r="F31" s="309"/>
      <c r="G31" s="206">
        <f>+D31</f>
        <v>1216.8785156249999</v>
      </c>
      <c r="H31" s="206">
        <f>+$D$31</f>
        <v>1216.8785156249999</v>
      </c>
      <c r="I31" s="206" t="str">
        <f>+IF('Calcolo compensi CCT'!$D$59=3,"- - - -",$D$31)</f>
        <v>- - - -</v>
      </c>
      <c r="J31" s="206" t="str">
        <f>+IF('Calcolo compensi CCT'!$D$59=3,"- - - -",$D$31)</f>
        <v>- - - -</v>
      </c>
      <c r="K31" s="207">
        <f>+D31*(('Calcolo compensi CCT'!$D$59)-1)</f>
        <v>2433.7570312499997</v>
      </c>
    </row>
    <row r="32" spans="1:12" ht="39.9" customHeight="1">
      <c r="A32" s="203" t="s">
        <v>412</v>
      </c>
      <c r="B32" s="204" t="s">
        <v>408</v>
      </c>
      <c r="C32" s="205" t="s">
        <v>424</v>
      </c>
      <c r="D32" s="272">
        <f>+D31+D30</f>
        <v>7930.6910156249996</v>
      </c>
      <c r="E32" s="277">
        <v>1</v>
      </c>
      <c r="F32" s="309"/>
      <c r="G32" s="272">
        <f>+D32</f>
        <v>7930.6910156249996</v>
      </c>
      <c r="H32" s="272">
        <f>+G32</f>
        <v>7930.6910156249996</v>
      </c>
      <c r="I32" s="272" t="str">
        <f>+IF('Calcolo compensi CCT'!$D$59=3,"- - - -",$G$32)</f>
        <v>- - - -</v>
      </c>
      <c r="J32" s="272" t="str">
        <f>+IF('Calcolo compensi CCT'!$D$59=3,"- - - -",$G$32)</f>
        <v>- - - -</v>
      </c>
      <c r="K32" s="273">
        <f>SUM(G32:J32)</f>
        <v>15861.382031249999</v>
      </c>
    </row>
    <row r="33" spans="1:13" ht="39.9" customHeight="1">
      <c r="A33" s="203">
        <v>9</v>
      </c>
      <c r="B33" s="204" t="s">
        <v>363</v>
      </c>
      <c r="C33" s="205" t="s">
        <v>425</v>
      </c>
      <c r="D33" s="206">
        <f>+'Calcolo compensi CCT'!O38</f>
        <v>7385.1937500000004</v>
      </c>
      <c r="E33" s="277">
        <v>1</v>
      </c>
      <c r="F33" s="206">
        <f>+D33</f>
        <v>7385.1937500000004</v>
      </c>
      <c r="G33" s="309"/>
      <c r="H33" s="309"/>
      <c r="I33" s="309"/>
      <c r="J33" s="309"/>
      <c r="K33" s="207">
        <f>+F33</f>
        <v>7385.1937500000004</v>
      </c>
      <c r="L33" s="296" t="s">
        <v>295</v>
      </c>
    </row>
    <row r="34" spans="1:13" ht="39.9" customHeight="1">
      <c r="A34" s="203">
        <v>10</v>
      </c>
      <c r="B34" s="204" t="s">
        <v>364</v>
      </c>
      <c r="C34" s="205" t="s">
        <v>426</v>
      </c>
      <c r="D34" s="206">
        <f>+'Calcolo compensi CCT'!I55</f>
        <v>1338.5663671875</v>
      </c>
      <c r="E34" s="277">
        <v>1</v>
      </c>
      <c r="F34" s="206">
        <f>+D34</f>
        <v>1338.5663671875</v>
      </c>
      <c r="G34" s="309"/>
      <c r="H34" s="309"/>
      <c r="I34" s="309"/>
      <c r="J34" s="309"/>
      <c r="K34" s="207">
        <f t="shared" ref="K34:K35" si="0">+F34</f>
        <v>1338.5663671875</v>
      </c>
    </row>
    <row r="35" spans="1:13" ht="39.9" customHeight="1">
      <c r="A35" s="203" t="s">
        <v>413</v>
      </c>
      <c r="B35" s="204" t="s">
        <v>409</v>
      </c>
      <c r="C35" s="205" t="s">
        <v>427</v>
      </c>
      <c r="D35" s="272">
        <f>+D34+D33</f>
        <v>8723.7601171874994</v>
      </c>
      <c r="E35" s="277">
        <v>1</v>
      </c>
      <c r="F35" s="272">
        <f>+F34+F33</f>
        <v>8723.7601171874994</v>
      </c>
      <c r="G35" s="309"/>
      <c r="H35" s="309"/>
      <c r="I35" s="309"/>
      <c r="J35" s="309"/>
      <c r="K35" s="273">
        <f t="shared" si="0"/>
        <v>8723.7601171874994</v>
      </c>
      <c r="L35" s="296" t="s">
        <v>295</v>
      </c>
    </row>
    <row r="36" spans="1:13" ht="39.9" customHeight="1" thickBot="1">
      <c r="A36" s="283" t="s">
        <v>369</v>
      </c>
      <c r="B36" s="681" t="s">
        <v>428</v>
      </c>
      <c r="C36" s="682"/>
      <c r="D36" s="682"/>
      <c r="E36" s="683"/>
      <c r="F36" s="284">
        <f>+F21+F29+F35</f>
        <v>44072.86130779513</v>
      </c>
      <c r="G36" s="284">
        <f>+G18+G26+G32</f>
        <v>40066.237552541024</v>
      </c>
      <c r="H36" s="284">
        <f>+H18+H26+H32</f>
        <v>40066.237552541024</v>
      </c>
      <c r="I36" s="284">
        <f>+IFERROR(I18+I26+I32,0)</f>
        <v>0</v>
      </c>
      <c r="J36" s="284">
        <f>IFERROR(+J18+J26+J32,0)</f>
        <v>0</v>
      </c>
      <c r="K36" s="285">
        <f>+K32+K29+K26+K21+K18+K35</f>
        <v>124205.33641287718</v>
      </c>
      <c r="L36" s="296" t="s">
        <v>295</v>
      </c>
      <c r="M36" s="312" t="s">
        <v>295</v>
      </c>
    </row>
    <row r="37" spans="1:13" ht="39.9" customHeight="1">
      <c r="A37" s="280">
        <v>11</v>
      </c>
      <c r="B37" s="281" t="s">
        <v>370</v>
      </c>
      <c r="C37" s="282" t="s">
        <v>367</v>
      </c>
      <c r="D37" s="657">
        <f>+'Calcolo compensi CCT'!Q59</f>
        <v>5000</v>
      </c>
      <c r="E37" s="658"/>
      <c r="F37" s="659"/>
      <c r="G37" s="659"/>
      <c r="H37" s="659"/>
      <c r="I37" s="659"/>
      <c r="J37" s="659"/>
      <c r="K37" s="660"/>
    </row>
    <row r="38" spans="1:13" ht="39.9" customHeight="1" thickBot="1">
      <c r="A38" s="250">
        <v>12</v>
      </c>
      <c r="B38" s="251" t="s">
        <v>371</v>
      </c>
      <c r="C38" s="252" t="s">
        <v>368</v>
      </c>
      <c r="D38" s="661">
        <f>+'Calcolo compensi CCT'!Q60</f>
        <v>5000</v>
      </c>
      <c r="E38" s="662"/>
      <c r="F38" s="663"/>
      <c r="G38" s="663"/>
      <c r="H38" s="663"/>
      <c r="I38" s="663"/>
      <c r="J38" s="663"/>
      <c r="K38" s="664"/>
    </row>
    <row r="39" spans="1:13" ht="13.8" thickBot="1">
      <c r="A39" s="77"/>
      <c r="B39" s="190"/>
      <c r="C39" s="190"/>
      <c r="D39" s="77"/>
      <c r="E39" s="77"/>
      <c r="F39" s="77"/>
      <c r="G39" s="77"/>
      <c r="H39" s="77"/>
      <c r="I39" s="77"/>
      <c r="J39" s="77"/>
      <c r="K39" s="77"/>
    </row>
    <row r="40" spans="1:13" ht="39.9" customHeight="1">
      <c r="A40" s="278" t="s">
        <v>440</v>
      </c>
      <c r="B40" s="688" t="s">
        <v>474</v>
      </c>
      <c r="C40" s="689"/>
      <c r="D40" s="690">
        <f>+K18+K21</f>
        <v>85888.163014439677</v>
      </c>
      <c r="E40" s="690"/>
      <c r="F40" s="691"/>
      <c r="G40" s="691"/>
      <c r="H40" s="691"/>
      <c r="I40" s="691"/>
      <c r="J40" s="691"/>
      <c r="K40" s="692"/>
      <c r="L40" s="296" t="s">
        <v>295</v>
      </c>
    </row>
    <row r="41" spans="1:13" ht="39.9" customHeight="1">
      <c r="A41" s="193" t="s">
        <v>441</v>
      </c>
      <c r="B41" s="624" t="s">
        <v>475</v>
      </c>
      <c r="C41" s="625"/>
      <c r="D41" s="291"/>
      <c r="E41" s="626">
        <f>+K19+K20+K22+K23</f>
        <v>17177.632602887938</v>
      </c>
      <c r="F41" s="627"/>
      <c r="G41" s="627"/>
      <c r="H41" s="627"/>
      <c r="I41" s="627"/>
      <c r="J41" s="627"/>
      <c r="K41" s="628"/>
      <c r="L41" s="296"/>
    </row>
    <row r="42" spans="1:13" ht="39.9" customHeight="1">
      <c r="A42" s="193" t="s">
        <v>476</v>
      </c>
      <c r="B42" s="624" t="s">
        <v>473</v>
      </c>
      <c r="C42" s="625"/>
      <c r="D42" s="626">
        <f>+K26+K29+K32+K35+D37+D38</f>
        <v>48317.173398437502</v>
      </c>
      <c r="E42" s="626"/>
      <c r="F42" s="693"/>
      <c r="G42" s="693"/>
      <c r="H42" s="693"/>
      <c r="I42" s="693"/>
      <c r="J42" s="693"/>
      <c r="K42" s="694"/>
    </row>
    <row r="43" spans="1:13" ht="39.9" customHeight="1">
      <c r="A43" s="286" t="s">
        <v>480</v>
      </c>
      <c r="B43" s="624" t="s">
        <v>442</v>
      </c>
      <c r="C43" s="625"/>
      <c r="D43" s="626">
        <f>+D42+E41</f>
        <v>65494.806001325444</v>
      </c>
      <c r="E43" s="626"/>
      <c r="F43" s="693"/>
      <c r="G43" s="693"/>
      <c r="H43" s="693"/>
      <c r="I43" s="693"/>
      <c r="J43" s="693"/>
      <c r="K43" s="694"/>
    </row>
    <row r="44" spans="1:13" ht="39.9" customHeight="1">
      <c r="A44" s="286" t="s">
        <v>481</v>
      </c>
      <c r="B44" s="624" t="s">
        <v>478</v>
      </c>
      <c r="C44" s="625"/>
      <c r="D44" s="626">
        <f>+D43/2</f>
        <v>32747.403000662722</v>
      </c>
      <c r="E44" s="626"/>
      <c r="F44" s="693"/>
      <c r="G44" s="693"/>
      <c r="H44" s="693"/>
      <c r="I44" s="693"/>
      <c r="J44" s="693"/>
      <c r="K44" s="694"/>
    </row>
    <row r="45" spans="1:13" ht="39.9" customHeight="1">
      <c r="A45" s="286" t="s">
        <v>443</v>
      </c>
      <c r="B45" s="624" t="s">
        <v>477</v>
      </c>
      <c r="C45" s="625"/>
      <c r="D45" s="626">
        <f>+D40+D42</f>
        <v>134205.33641287719</v>
      </c>
      <c r="E45" s="626"/>
      <c r="F45" s="693"/>
      <c r="G45" s="693"/>
      <c r="H45" s="693"/>
      <c r="I45" s="693"/>
      <c r="J45" s="693"/>
      <c r="K45" s="694"/>
    </row>
    <row r="46" spans="1:13" ht="39.9" customHeight="1" thickBot="1">
      <c r="A46" s="248" t="s">
        <v>479</v>
      </c>
      <c r="B46" s="705" t="s">
        <v>444</v>
      </c>
      <c r="C46" s="706"/>
      <c r="D46" s="707">
        <f>+D45/2</f>
        <v>67102.668206438597</v>
      </c>
      <c r="E46" s="707"/>
      <c r="F46" s="708"/>
      <c r="G46" s="708"/>
      <c r="H46" s="708"/>
      <c r="I46" s="708"/>
      <c r="J46" s="708"/>
      <c r="K46" s="710"/>
    </row>
    <row r="47" spans="1:13" ht="29.25" customHeight="1" thickBot="1">
      <c r="A47" s="695" t="str">
        <f>+'Calcolo compensi CCT'!N62</f>
        <v>SPESA CONTENUTA ENTRO I LIMITI CONSENTITI</v>
      </c>
      <c r="B47" s="696"/>
      <c r="C47" s="696"/>
      <c r="D47" s="696"/>
      <c r="E47" s="696"/>
      <c r="F47" s="696"/>
      <c r="G47" s="697"/>
      <c r="H47" s="697"/>
      <c r="I47" s="697"/>
      <c r="J47" s="697"/>
      <c r="K47" s="698"/>
    </row>
    <row r="48" spans="1:13" ht="16.2">
      <c r="A48" s="253"/>
      <c r="B48" s="254"/>
      <c r="C48" s="254"/>
      <c r="D48" s="253"/>
      <c r="E48" s="253"/>
      <c r="F48" s="253"/>
      <c r="G48" s="253"/>
      <c r="H48" s="253"/>
      <c r="I48" s="253"/>
      <c r="J48" s="253"/>
      <c r="K48" s="253"/>
    </row>
    <row r="49" spans="1:11" ht="39.9" hidden="1" customHeight="1">
      <c r="A49" s="247" t="s">
        <v>445</v>
      </c>
      <c r="B49" s="688" t="s">
        <v>448</v>
      </c>
      <c r="C49" s="688"/>
      <c r="D49" s="701">
        <v>0</v>
      </c>
      <c r="E49" s="702"/>
      <c r="F49" s="703"/>
      <c r="G49" s="703"/>
      <c r="H49" s="703"/>
      <c r="I49" s="703"/>
      <c r="J49" s="703"/>
      <c r="K49" s="704"/>
    </row>
    <row r="50" spans="1:11" ht="39.9" hidden="1" customHeight="1" thickBot="1">
      <c r="A50" s="248" t="s">
        <v>447</v>
      </c>
      <c r="B50" s="705" t="s">
        <v>446</v>
      </c>
      <c r="C50" s="706"/>
      <c r="D50" s="707">
        <f>+D43-D49</f>
        <v>65494.806001325444</v>
      </c>
      <c r="E50" s="707"/>
      <c r="F50" s="708"/>
      <c r="G50" s="708"/>
      <c r="H50" s="709"/>
      <c r="I50" s="709"/>
      <c r="J50" s="709"/>
      <c r="K50" s="710"/>
    </row>
    <row r="51" spans="1:11" ht="16.2" hidden="1">
      <c r="A51" s="253"/>
      <c r="B51" s="254"/>
      <c r="C51" s="254"/>
      <c r="D51" s="253"/>
      <c r="E51" s="253"/>
      <c r="F51" s="253"/>
      <c r="G51" s="253"/>
      <c r="H51" s="253"/>
      <c r="I51" s="253"/>
      <c r="J51" s="253"/>
      <c r="K51" s="253"/>
    </row>
    <row r="52" spans="1:11" ht="39.75" hidden="1" customHeight="1">
      <c r="A52" s="249" t="s">
        <v>395</v>
      </c>
      <c r="B52" s="699" t="s">
        <v>394</v>
      </c>
      <c r="C52" s="700"/>
      <c r="D52" s="675">
        <f>+(D18*2+D21)*3</f>
        <v>257664.48904331902</v>
      </c>
      <c r="E52" s="675"/>
      <c r="F52" s="676"/>
      <c r="G52" s="677"/>
      <c r="H52" s="677"/>
      <c r="I52" s="677"/>
      <c r="J52" s="677"/>
      <c r="K52" s="678"/>
    </row>
    <row r="53" spans="1:11" ht="52.5" hidden="1" customHeight="1" thickBot="1">
      <c r="A53" s="255" t="s">
        <v>396</v>
      </c>
      <c r="B53" s="673" t="s">
        <v>398</v>
      </c>
      <c r="C53" s="674"/>
      <c r="D53" s="684">
        <f>+D52/2</f>
        <v>128832.24452165951</v>
      </c>
      <c r="E53" s="684"/>
      <c r="F53" s="685"/>
      <c r="G53" s="686"/>
      <c r="H53" s="686"/>
      <c r="I53" s="686"/>
      <c r="J53" s="686"/>
      <c r="K53" s="687"/>
    </row>
    <row r="54" spans="1:11" ht="39.9" customHeight="1"/>
  </sheetData>
  <sheetProtection algorithmName="SHA-512" hashValue="Vw5IFe6/UgCn4gNvdgLUCZ9N69Y/yjbGQMfTPR85cMnSweOQZzwELwM6Np//Yv1t9ho+ipHKTgAzMwRyJYjX2Q==" saltValue="JKmSQ+hg6lakbeF13l1YkQ==" spinCount="100000" sheet="1" objects="1" scenarios="1" selectLockedCells="1"/>
  <mergeCells count="57">
    <mergeCell ref="D49:K49"/>
    <mergeCell ref="B50:C50"/>
    <mergeCell ref="D50:K50"/>
    <mergeCell ref="B42:C42"/>
    <mergeCell ref="D42:K42"/>
    <mergeCell ref="B43:C43"/>
    <mergeCell ref="D43:K43"/>
    <mergeCell ref="B45:C45"/>
    <mergeCell ref="D45:K45"/>
    <mergeCell ref="B46:C46"/>
    <mergeCell ref="D46:K46"/>
    <mergeCell ref="B53:C53"/>
    <mergeCell ref="D52:K52"/>
    <mergeCell ref="A10:C10"/>
    <mergeCell ref="A14:C14"/>
    <mergeCell ref="A15:C15"/>
    <mergeCell ref="B36:E36"/>
    <mergeCell ref="D53:K53"/>
    <mergeCell ref="B40:C40"/>
    <mergeCell ref="D40:K40"/>
    <mergeCell ref="B44:C44"/>
    <mergeCell ref="D44:K44"/>
    <mergeCell ref="A47:K47"/>
    <mergeCell ref="D11:K11"/>
    <mergeCell ref="D12:K12"/>
    <mergeCell ref="B52:C52"/>
    <mergeCell ref="B49:C49"/>
    <mergeCell ref="A1:K1"/>
    <mergeCell ref="D37:K37"/>
    <mergeCell ref="D38:K38"/>
    <mergeCell ref="A6:C6"/>
    <mergeCell ref="A7:C7"/>
    <mergeCell ref="A9:C9"/>
    <mergeCell ref="D6:K6"/>
    <mergeCell ref="D7:K7"/>
    <mergeCell ref="D9:K9"/>
    <mergeCell ref="A4:C4"/>
    <mergeCell ref="D4:K4"/>
    <mergeCell ref="D15:K15"/>
    <mergeCell ref="A11:C11"/>
    <mergeCell ref="A12:C12"/>
    <mergeCell ref="A13:C13"/>
    <mergeCell ref="D10:K10"/>
    <mergeCell ref="A2:A3"/>
    <mergeCell ref="B2:B3"/>
    <mergeCell ref="A8:C8"/>
    <mergeCell ref="D8:K8"/>
    <mergeCell ref="E3:F3"/>
    <mergeCell ref="A5:C5"/>
    <mergeCell ref="E5:K5"/>
    <mergeCell ref="E2:K2"/>
    <mergeCell ref="D14:K14"/>
    <mergeCell ref="E16:E23"/>
    <mergeCell ref="B41:C41"/>
    <mergeCell ref="E41:K41"/>
    <mergeCell ref="C2:C3"/>
    <mergeCell ref="E13:K13"/>
  </mergeCells>
  <dataValidations disablePrompts="1" count="3">
    <dataValidation type="whole" allowBlank="1" showInputMessage="1" showErrorMessage="1" error="IMMETTERE UN VALORE COMPRESO TRA 1 E 31" sqref="E3" xr:uid="{B9CEBE6F-E55C-4271-96DA-8073932C94A1}">
      <formula1>1</formula1>
      <formula2>31</formula2>
    </dataValidation>
    <dataValidation type="whole" operator="greaterThanOrEqual" allowBlank="1" showInputMessage="1" showErrorMessage="1" error="IMMETTERE UN VALORE UGUALE O MAGGIORE DI 2021" sqref="K3" xr:uid="{5C48FD38-2D25-48E1-BBF2-95FB08D99139}">
      <formula1>2021</formula1>
    </dataValidation>
    <dataValidation type="whole" allowBlank="1" showInputMessage="1" showErrorMessage="1" error="IMMETTERE UN VALORE COMPRESO TRA 1 E 12" sqref="G3:K3" xr:uid="{3BE824F5-9494-436A-BA81-469EAFA7E491}">
      <formula1>1</formula1>
      <formula2>12</formula2>
    </dataValidation>
  </dataValidations>
  <printOptions horizontalCentered="1"/>
  <pageMargins left="0.70866141732283472" right="0.70866141732283472" top="0.74803149606299213" bottom="0.74803149606299213" header="0.31496062992125984" footer="0.31496062992125984"/>
  <pageSetup paperSize="9" scale="41" orientation="portrait" horizontalDpi="1200" verticalDpi="1200" r:id="rId1"/>
  <ignoredErrors>
    <ignoredError sqref="D21 K31 I36"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65"/>
  <sheetViews>
    <sheetView zoomScale="130" zoomScaleNormal="130" workbookViewId="0">
      <selection sqref="A1:H1"/>
    </sheetView>
  </sheetViews>
  <sheetFormatPr defaultRowHeight="13.2"/>
  <cols>
    <col min="1" max="1" width="16.6640625" customWidth="1"/>
    <col min="2" max="2" width="22.6640625" customWidth="1"/>
    <col min="3" max="3" width="6.44140625" customWidth="1"/>
    <col min="7" max="7" width="48.109375" customWidth="1"/>
    <col min="8" max="9" width="11.88671875" customWidth="1"/>
    <col min="10" max="10" width="36.109375" hidden="1" customWidth="1"/>
    <col min="11" max="11" width="9.109375" hidden="1" customWidth="1"/>
    <col min="12" max="12" width="5.6640625" hidden="1" customWidth="1"/>
  </cols>
  <sheetData>
    <row r="1" spans="1:12" ht="28.5" customHeight="1" thickBot="1">
      <c r="A1" s="711" t="s">
        <v>7</v>
      </c>
      <c r="B1" s="712"/>
      <c r="C1" s="712"/>
      <c r="D1" s="712"/>
      <c r="E1" s="712"/>
      <c r="F1" s="712"/>
      <c r="G1" s="712"/>
      <c r="H1" s="713"/>
    </row>
    <row r="2" spans="1:12" ht="41.25" customHeight="1">
      <c r="A2" s="714" t="s">
        <v>45</v>
      </c>
      <c r="B2" s="716" t="s">
        <v>46</v>
      </c>
      <c r="C2" s="716" t="s">
        <v>47</v>
      </c>
      <c r="D2" s="718" t="s">
        <v>8</v>
      </c>
      <c r="E2" s="719"/>
      <c r="F2" s="717"/>
      <c r="G2" s="50" t="s">
        <v>9</v>
      </c>
      <c r="H2" s="54" t="s">
        <v>48</v>
      </c>
    </row>
    <row r="3" spans="1:12" ht="30.6">
      <c r="A3" s="715"/>
      <c r="B3" s="717"/>
      <c r="C3" s="717"/>
      <c r="D3" s="4" t="s">
        <v>49</v>
      </c>
      <c r="E3" s="5" t="s">
        <v>43</v>
      </c>
      <c r="F3" s="3" t="s">
        <v>44</v>
      </c>
      <c r="G3" s="6"/>
      <c r="H3" s="55" t="s">
        <v>1</v>
      </c>
    </row>
    <row r="4" spans="1:12" ht="23.4">
      <c r="A4" s="723" t="s">
        <v>3</v>
      </c>
      <c r="B4" s="729" t="s">
        <v>50</v>
      </c>
      <c r="C4" s="7" t="s">
        <v>51</v>
      </c>
      <c r="D4" s="7" t="s">
        <v>52</v>
      </c>
      <c r="E4" s="7" t="s">
        <v>53</v>
      </c>
      <c r="F4" s="8"/>
      <c r="G4" s="41" t="s">
        <v>12</v>
      </c>
      <c r="H4" s="56">
        <v>0.65</v>
      </c>
      <c r="J4" t="str">
        <f>CONCATENATE(C4,"-",B4,"-Edifici semplici")</f>
        <v>E.01-Insediamenti Produttivi Agricoltura-Industria- Artigianato-Edifici semplici</v>
      </c>
      <c r="K4" s="74">
        <f>H4</f>
        <v>0.65</v>
      </c>
      <c r="L4" s="76"/>
    </row>
    <row r="5" spans="1:12" ht="20.100000000000001" customHeight="1">
      <c r="A5" s="724"/>
      <c r="B5" s="731"/>
      <c r="C5" s="7" t="s">
        <v>54</v>
      </c>
      <c r="D5" s="7" t="s">
        <v>55</v>
      </c>
      <c r="E5" s="7" t="s">
        <v>53</v>
      </c>
      <c r="F5" s="9"/>
      <c r="G5" s="41" t="s">
        <v>13</v>
      </c>
      <c r="H5" s="56">
        <v>0.95</v>
      </c>
      <c r="J5" t="str">
        <f>CONCATENATE(C5,"-",B4,"-Edifici complessi")</f>
        <v>E.02-Insediamenti Produttivi Agricoltura-Industria- Artigianato-Edifici complessi</v>
      </c>
      <c r="K5" s="74">
        <f>H5</f>
        <v>0.95</v>
      </c>
      <c r="L5" s="76"/>
    </row>
    <row r="6" spans="1:12" ht="20.100000000000001" customHeight="1">
      <c r="A6" s="724"/>
      <c r="B6" s="720" t="s">
        <v>56</v>
      </c>
      <c r="C6" s="10" t="s">
        <v>57</v>
      </c>
      <c r="D6" s="10" t="s">
        <v>55</v>
      </c>
      <c r="E6" s="10" t="s">
        <v>53</v>
      </c>
      <c r="F6" s="11"/>
      <c r="G6" s="42" t="s">
        <v>14</v>
      </c>
      <c r="H6" s="57">
        <v>0.95</v>
      </c>
      <c r="J6" t="str">
        <f>CONCATENATE(C6,"-",B6,"-Edifici semplici")</f>
        <v>E.03-Industria Alberghiera, Turismo e Commercio e Servizi per la Mobilità-Edifici semplici</v>
      </c>
      <c r="K6" s="74">
        <f>H6</f>
        <v>0.95</v>
      </c>
      <c r="L6" s="76"/>
    </row>
    <row r="7" spans="1:12" ht="20.100000000000001" customHeight="1">
      <c r="A7" s="724"/>
      <c r="B7" s="728"/>
      <c r="C7" s="10" t="s">
        <v>58</v>
      </c>
      <c r="D7" s="10" t="s">
        <v>59</v>
      </c>
      <c r="E7" s="10" t="s">
        <v>53</v>
      </c>
      <c r="F7" s="11"/>
      <c r="G7" s="42" t="s">
        <v>15</v>
      </c>
      <c r="H7" s="57">
        <v>1.2</v>
      </c>
      <c r="J7" t="str">
        <f>CONCATENATE(C7,"-",B6,"-Edifici complessi")</f>
        <v>E.04-Industria Alberghiera, Turismo e Commercio e Servizi per la Mobilità-Edifici complessi</v>
      </c>
      <c r="K7" s="74">
        <f>H7</f>
        <v>1.2</v>
      </c>
      <c r="L7" s="76"/>
    </row>
    <row r="8" spans="1:12" ht="20.100000000000001" customHeight="1">
      <c r="A8" s="724"/>
      <c r="B8" s="729" t="s">
        <v>10</v>
      </c>
      <c r="C8" s="7" t="s">
        <v>60</v>
      </c>
      <c r="D8" s="7" t="s">
        <v>52</v>
      </c>
      <c r="E8" s="7" t="s">
        <v>53</v>
      </c>
      <c r="F8" s="9"/>
      <c r="G8" s="41" t="s">
        <v>16</v>
      </c>
      <c r="H8" s="56">
        <v>0.65</v>
      </c>
      <c r="J8" t="str">
        <f>CONCATENATE(C8,"-",B8,"-Edifici semplici")</f>
        <v>E.05-Residenza-Edifici semplici</v>
      </c>
      <c r="K8" s="74">
        <f t="shared" ref="K8:K65" si="0">H8</f>
        <v>0.65</v>
      </c>
      <c r="L8" s="76"/>
    </row>
    <row r="9" spans="1:12" ht="20.100000000000001" customHeight="1">
      <c r="A9" s="724"/>
      <c r="B9" s="730"/>
      <c r="C9" s="7" t="s">
        <v>61</v>
      </c>
      <c r="D9" s="7" t="s">
        <v>55</v>
      </c>
      <c r="E9" s="7" t="s">
        <v>53</v>
      </c>
      <c r="F9" s="9"/>
      <c r="G9" s="41" t="s">
        <v>17</v>
      </c>
      <c r="H9" s="56">
        <v>0.95</v>
      </c>
      <c r="J9" t="str">
        <f>CONCATENATE(C9,"-",B8,"-Edifici correnti")</f>
        <v>E.06-Residenza-Edifici correnti</v>
      </c>
      <c r="K9" s="74">
        <f t="shared" si="0"/>
        <v>0.95</v>
      </c>
      <c r="L9" s="76"/>
    </row>
    <row r="10" spans="1:12" ht="20.100000000000001" customHeight="1">
      <c r="A10" s="724"/>
      <c r="B10" s="731"/>
      <c r="C10" s="7" t="s">
        <v>62</v>
      </c>
      <c r="D10" s="7" t="s">
        <v>59</v>
      </c>
      <c r="E10" s="7" t="s">
        <v>53</v>
      </c>
      <c r="F10" s="9"/>
      <c r="G10" s="41" t="s">
        <v>18</v>
      </c>
      <c r="H10" s="56">
        <v>1.2</v>
      </c>
      <c r="J10" t="str">
        <f>CONCATENATE(C10,"-",B8,"-Edifici pregiati")</f>
        <v>E.07-Residenza-Edifici pregiati</v>
      </c>
      <c r="K10" s="74">
        <f t="shared" si="0"/>
        <v>1.2</v>
      </c>
      <c r="L10" s="76"/>
    </row>
    <row r="11" spans="1:12" ht="23.4">
      <c r="A11" s="724"/>
      <c r="B11" s="720" t="s">
        <v>11</v>
      </c>
      <c r="C11" s="10" t="s">
        <v>63</v>
      </c>
      <c r="D11" s="10" t="s">
        <v>55</v>
      </c>
      <c r="E11" s="10" t="s">
        <v>53</v>
      </c>
      <c r="F11" s="11"/>
      <c r="G11" s="42" t="s">
        <v>19</v>
      </c>
      <c r="H11" s="57">
        <v>0.95</v>
      </c>
      <c r="J11" t="str">
        <f>CONCATENATE(C11,"-",B11,"-Edifici semplici")</f>
        <v>E.08-Sanità, Istruzione, Ricerca-Edifici semplici</v>
      </c>
      <c r="K11" s="74">
        <f t="shared" si="0"/>
        <v>0.95</v>
      </c>
      <c r="L11" s="76"/>
    </row>
    <row r="12" spans="1:12" ht="20.100000000000001" customHeight="1">
      <c r="A12" s="724"/>
      <c r="B12" s="727"/>
      <c r="C12" s="10" t="s">
        <v>64</v>
      </c>
      <c r="D12" s="10" t="s">
        <v>59</v>
      </c>
      <c r="E12" s="10" t="s">
        <v>53</v>
      </c>
      <c r="F12" s="11"/>
      <c r="G12" s="42" t="s">
        <v>20</v>
      </c>
      <c r="H12" s="57">
        <v>1.1499999999999999</v>
      </c>
      <c r="J12" t="str">
        <f>CONCATENATE(C12,"-",B11,"-Edifici correnti")</f>
        <v>E.09-Sanità, Istruzione, Ricerca-Edifici correnti</v>
      </c>
      <c r="K12" s="74">
        <f t="shared" si="0"/>
        <v>1.1499999999999999</v>
      </c>
      <c r="L12" s="76"/>
    </row>
    <row r="13" spans="1:12" ht="20.100000000000001" customHeight="1">
      <c r="A13" s="724"/>
      <c r="B13" s="728"/>
      <c r="C13" s="10" t="s">
        <v>65</v>
      </c>
      <c r="D13" s="10" t="s">
        <v>59</v>
      </c>
      <c r="E13" s="10" t="s">
        <v>53</v>
      </c>
      <c r="F13" s="11"/>
      <c r="G13" s="42" t="s">
        <v>21</v>
      </c>
      <c r="H13" s="57">
        <v>1.2</v>
      </c>
      <c r="J13" t="str">
        <f>CONCATENATE(C13,"-",B11,"-Edifici complessi")</f>
        <v>E.10-Sanità, Istruzione, Ricerca-Edifici complessi</v>
      </c>
      <c r="K13" s="74">
        <f t="shared" si="0"/>
        <v>1.2</v>
      </c>
      <c r="L13" s="76"/>
    </row>
    <row r="14" spans="1:12" ht="31.2">
      <c r="A14" s="724"/>
      <c r="B14" s="729" t="s">
        <v>66</v>
      </c>
      <c r="C14" s="12" t="s">
        <v>67</v>
      </c>
      <c r="D14" s="7" t="s">
        <v>55</v>
      </c>
      <c r="E14" s="7" t="s">
        <v>53</v>
      </c>
      <c r="F14" s="9"/>
      <c r="G14" s="41" t="s">
        <v>22</v>
      </c>
      <c r="H14" s="58">
        <v>0.95</v>
      </c>
      <c r="J14" t="str">
        <f>CONCATENATE(C14,"-",B14,"-Edifici semplici")</f>
        <v>E.11-Cultura, Vita Sociale, Sport, Culto-Edifici semplici</v>
      </c>
      <c r="K14" s="74">
        <f t="shared" si="0"/>
        <v>0.95</v>
      </c>
      <c r="L14" s="76"/>
    </row>
    <row r="15" spans="1:12" ht="20.100000000000001" customHeight="1">
      <c r="A15" s="724"/>
      <c r="B15" s="730"/>
      <c r="C15" s="7" t="s">
        <v>68</v>
      </c>
      <c r="D15" s="7" t="s">
        <v>59</v>
      </c>
      <c r="E15" s="7" t="s">
        <v>53</v>
      </c>
      <c r="F15" s="9"/>
      <c r="G15" s="41" t="s">
        <v>23</v>
      </c>
      <c r="H15" s="56">
        <v>1.1499999999999999</v>
      </c>
      <c r="J15" t="str">
        <f>CONCATENATE(C15,"-",B14,"-Edifici correnti")</f>
        <v>E.12-Cultura, Vita Sociale, Sport, Culto-Edifici correnti</v>
      </c>
      <c r="K15" s="74">
        <f t="shared" si="0"/>
        <v>1.1499999999999999</v>
      </c>
      <c r="L15" s="76"/>
    </row>
    <row r="16" spans="1:12" ht="31.2">
      <c r="A16" s="724"/>
      <c r="B16" s="731"/>
      <c r="C16" s="12" t="s">
        <v>69</v>
      </c>
      <c r="D16" s="7" t="s">
        <v>59</v>
      </c>
      <c r="E16" s="7" t="s">
        <v>53</v>
      </c>
      <c r="F16" s="9"/>
      <c r="G16" s="41" t="s">
        <v>24</v>
      </c>
      <c r="H16" s="58">
        <v>1.2</v>
      </c>
      <c r="J16" t="str">
        <f>CONCATENATE(C16,"-",B14,"-Edifici complessi")</f>
        <v>E.13-Cultura, Vita Sociale, Sport, Culto-Edifici complessi</v>
      </c>
      <c r="K16" s="74">
        <f t="shared" si="0"/>
        <v>1.2</v>
      </c>
      <c r="L16" s="76"/>
    </row>
    <row r="17" spans="1:12" ht="20.100000000000001" customHeight="1">
      <c r="A17" s="724"/>
      <c r="B17" s="720" t="s">
        <v>70</v>
      </c>
      <c r="C17" s="10" t="s">
        <v>71</v>
      </c>
      <c r="D17" s="10" t="s">
        <v>52</v>
      </c>
      <c r="E17" s="10" t="s">
        <v>53</v>
      </c>
      <c r="F17" s="11"/>
      <c r="G17" s="42" t="s">
        <v>25</v>
      </c>
      <c r="H17" s="57">
        <v>0.65</v>
      </c>
      <c r="J17" t="str">
        <f>CONCATENATE(C17,"-",B17,"-Edifici di modesta importanza")</f>
        <v>E.14-Sedi amministrative, giudiziarie, delle forze dell'ordine-Edifici di modesta importanza</v>
      </c>
      <c r="K17" s="74">
        <f t="shared" si="0"/>
        <v>0.65</v>
      </c>
      <c r="L17" s="76"/>
    </row>
    <row r="18" spans="1:12" ht="20.100000000000001" customHeight="1">
      <c r="A18" s="724"/>
      <c r="B18" s="727"/>
      <c r="C18" s="10" t="s">
        <v>72</v>
      </c>
      <c r="D18" s="10" t="s">
        <v>55</v>
      </c>
      <c r="E18" s="10" t="s">
        <v>53</v>
      </c>
      <c r="F18" s="11"/>
      <c r="G18" s="42" t="s">
        <v>26</v>
      </c>
      <c r="H18" s="57">
        <v>0.95</v>
      </c>
      <c r="J18" t="str">
        <f>CONCATENATE(C18,"-",B17,"-Edifici di importanza corrente")</f>
        <v>E.15-Sedi amministrative, giudiziarie, delle forze dell'ordine-Edifici di importanza corrente</v>
      </c>
      <c r="K18" s="74">
        <f t="shared" si="0"/>
        <v>0.95</v>
      </c>
      <c r="L18" s="76"/>
    </row>
    <row r="19" spans="1:12" ht="23.4">
      <c r="A19" s="724"/>
      <c r="B19" s="728"/>
      <c r="C19" s="10" t="s">
        <v>73</v>
      </c>
      <c r="D19" s="10" t="s">
        <v>59</v>
      </c>
      <c r="E19" s="10" t="s">
        <v>53</v>
      </c>
      <c r="F19" s="13"/>
      <c r="G19" s="42" t="s">
        <v>27</v>
      </c>
      <c r="H19" s="57">
        <v>1.2</v>
      </c>
      <c r="J19" t="str">
        <f>CONCATENATE(C19,"-",B17,"-Edifici di importanza maggiore")</f>
        <v>E.16-Sedi amministrative, giudiziarie, delle forze dell'ordine-Edifici di importanza maggiore</v>
      </c>
      <c r="K19" s="74">
        <f t="shared" si="0"/>
        <v>1.2</v>
      </c>
      <c r="L19" s="76"/>
    </row>
    <row r="20" spans="1:12" ht="20.100000000000001" customHeight="1">
      <c r="A20" s="725"/>
      <c r="B20" s="729" t="s">
        <v>74</v>
      </c>
      <c r="C20" s="14" t="s">
        <v>75</v>
      </c>
      <c r="D20" s="14" t="s">
        <v>52</v>
      </c>
      <c r="E20" s="14" t="s">
        <v>53</v>
      </c>
      <c r="F20" s="15"/>
      <c r="G20" s="37" t="s">
        <v>28</v>
      </c>
      <c r="H20" s="59">
        <v>0.65</v>
      </c>
      <c r="J20" t="str">
        <f>CONCATENATE(C20,"-",B20,"-Opere semplici")</f>
        <v>E.17-Arredi, Forniture, Aree esterne pertinenziali allestite-Opere semplici</v>
      </c>
      <c r="K20" s="74">
        <f t="shared" si="0"/>
        <v>0.65</v>
      </c>
      <c r="L20" s="76"/>
    </row>
    <row r="21" spans="1:12" ht="20.100000000000001" customHeight="1">
      <c r="A21" s="725"/>
      <c r="B21" s="721"/>
      <c r="C21" s="7" t="s">
        <v>76</v>
      </c>
      <c r="D21" s="7" t="s">
        <v>55</v>
      </c>
      <c r="E21" s="7" t="s">
        <v>53</v>
      </c>
      <c r="F21" s="16"/>
      <c r="G21" s="35" t="s">
        <v>29</v>
      </c>
      <c r="H21" s="56">
        <v>0.95</v>
      </c>
      <c r="J21" t="str">
        <f>CONCATENATE(C21,"-",B20,"-Opere correnti")</f>
        <v>E.18-Arredi, Forniture, Aree esterne pertinenziali allestite-Opere correnti</v>
      </c>
      <c r="K21" s="74">
        <f t="shared" si="0"/>
        <v>0.95</v>
      </c>
      <c r="L21" s="76"/>
    </row>
    <row r="22" spans="1:12" ht="15.6">
      <c r="A22" s="725"/>
      <c r="B22" s="722"/>
      <c r="C22" s="7" t="s">
        <v>77</v>
      </c>
      <c r="D22" s="7" t="s">
        <v>59</v>
      </c>
      <c r="E22" s="7" t="s">
        <v>53</v>
      </c>
      <c r="F22" s="16"/>
      <c r="G22" s="35" t="s">
        <v>30</v>
      </c>
      <c r="H22" s="56">
        <v>1.2</v>
      </c>
      <c r="J22" t="str">
        <f>CONCATENATE(C22,"-",B20,"-Opere complesse")</f>
        <v>E.19-Arredi, Forniture, Aree esterne pertinenziali allestite-Opere complesse</v>
      </c>
      <c r="K22" s="74">
        <f t="shared" si="0"/>
        <v>1.2</v>
      </c>
      <c r="L22" s="76"/>
    </row>
    <row r="23" spans="1:12" ht="20.100000000000001" customHeight="1">
      <c r="A23" s="725"/>
      <c r="B23" s="720" t="s">
        <v>78</v>
      </c>
      <c r="C23" s="10" t="s">
        <v>79</v>
      </c>
      <c r="D23" s="10" t="s">
        <v>55</v>
      </c>
      <c r="E23" s="10" t="s">
        <v>53</v>
      </c>
      <c r="F23" s="17"/>
      <c r="G23" s="36" t="s">
        <v>31</v>
      </c>
      <c r="H23" s="57">
        <v>0.95</v>
      </c>
      <c r="J23" t="str">
        <f>CONCATENATE(C23,"-",B23,"-Manutenzione straordinaria su edifici esistenti")</f>
        <v>E.20-Edifici e manufatti esistenti-Manutenzione straordinaria su edifici esistenti</v>
      </c>
      <c r="K23" s="74">
        <f t="shared" si="0"/>
        <v>0.95</v>
      </c>
      <c r="L23" s="76"/>
    </row>
    <row r="24" spans="1:12" ht="20.100000000000001" customHeight="1">
      <c r="A24" s="725"/>
      <c r="B24" s="721"/>
      <c r="C24" s="10" t="s">
        <v>80</v>
      </c>
      <c r="D24" s="10" t="s">
        <v>59</v>
      </c>
      <c r="E24" s="10" t="s">
        <v>53</v>
      </c>
      <c r="F24" s="17"/>
      <c r="G24" s="36" t="s">
        <v>212</v>
      </c>
      <c r="H24" s="57">
        <v>1.2</v>
      </c>
      <c r="J24" t="str">
        <f>CONCATENATE(C24,"-",B23,"-Manutenzione straordinaria su edifici di interesse storico non soggetti")</f>
        <v>E.21-Edifici e manufatti esistenti-Manutenzione straordinaria su edifici di interesse storico non soggetti</v>
      </c>
      <c r="K24" s="74">
        <f t="shared" si="0"/>
        <v>1.2</v>
      </c>
      <c r="L24" s="76"/>
    </row>
    <row r="25" spans="1:12" ht="20.100000000000001" customHeight="1">
      <c r="A25" s="726"/>
      <c r="B25" s="722"/>
      <c r="C25" s="10" t="s">
        <v>81</v>
      </c>
      <c r="D25" s="10" t="s">
        <v>82</v>
      </c>
      <c r="E25" s="10" t="s">
        <v>53</v>
      </c>
      <c r="F25" s="17"/>
      <c r="G25" s="36" t="s">
        <v>32</v>
      </c>
      <c r="H25" s="60">
        <v>1.55</v>
      </c>
      <c r="J25" t="str">
        <f>CONCATENATE(C25,"-",B23,"-Manutenzione straordinaria su edifici di interesse storico soggetti")</f>
        <v>E.22-Edifici e manufatti esistenti-Manutenzione straordinaria su edifici di interesse storico soggetti</v>
      </c>
      <c r="K25" s="74">
        <f t="shared" si="0"/>
        <v>1.55</v>
      </c>
      <c r="L25" s="76"/>
    </row>
    <row r="26" spans="1:12" ht="24" customHeight="1">
      <c r="A26" s="723" t="s">
        <v>5</v>
      </c>
      <c r="B26" s="729" t="s">
        <v>83</v>
      </c>
      <c r="C26" s="18" t="s">
        <v>84</v>
      </c>
      <c r="D26" s="19" t="s">
        <v>85</v>
      </c>
      <c r="E26" s="20" t="s">
        <v>53</v>
      </c>
      <c r="F26" s="21"/>
      <c r="G26" s="35" t="s">
        <v>33</v>
      </c>
      <c r="H26" s="61">
        <v>0.7</v>
      </c>
      <c r="J26" t="str">
        <f>CONCATENATE(C26,"-",B26,"-Strutture in c.a. non soggette ad azione sismica e temporanee")</f>
        <v>S.01-Strutture, Opere infrastrutturali puntuali, non soggette ad azioni sismiche, ai sensi delle Norme Tecniche per le Costruzioni-Strutture in c.a. non soggette ad azione sismica e temporanee</v>
      </c>
      <c r="K26" s="74">
        <f t="shared" si="0"/>
        <v>0.7</v>
      </c>
      <c r="L26" s="77">
        <v>13</v>
      </c>
    </row>
    <row r="27" spans="1:12" ht="24" customHeight="1">
      <c r="A27" s="724"/>
      <c r="B27" s="731"/>
      <c r="C27" s="18" t="s">
        <v>86</v>
      </c>
      <c r="D27" s="19" t="s">
        <v>87</v>
      </c>
      <c r="E27" s="20" t="s">
        <v>88</v>
      </c>
      <c r="F27" s="21"/>
      <c r="G27" s="35" t="s">
        <v>213</v>
      </c>
      <c r="H27" s="61">
        <v>0.5</v>
      </c>
      <c r="J27" t="str">
        <f>CONCATENATE(C27,"-",B26,"-Strutture in muratura, legno e metallo non soggette ad azioni sismiche")</f>
        <v>S.02-Strutture, Opere infrastrutturali puntuali, non soggette ad azioni sismiche, ai sensi delle Norme Tecniche per le Costruzioni-Strutture in muratura, legno e metallo non soggette ad azioni sismiche</v>
      </c>
      <c r="K27" s="74">
        <f t="shared" si="0"/>
        <v>0.5</v>
      </c>
      <c r="L27" s="77">
        <v>2456</v>
      </c>
    </row>
    <row r="28" spans="1:12" ht="15.6">
      <c r="A28" s="724"/>
      <c r="B28" s="720" t="s">
        <v>89</v>
      </c>
      <c r="C28" s="22" t="s">
        <v>90</v>
      </c>
      <c r="D28" s="23" t="s">
        <v>91</v>
      </c>
      <c r="E28" s="24" t="s">
        <v>53</v>
      </c>
      <c r="F28" s="25"/>
      <c r="G28" s="36" t="s">
        <v>34</v>
      </c>
      <c r="H28" s="62">
        <v>0.95</v>
      </c>
      <c r="J28" t="str">
        <f>CONCATENATE(C28,"-",B28,"-Strutture in c.a. soggette ad azione sismica")</f>
        <v>S.03-Strutture, Opere infrastrutturali puntuali-Strutture in c.a. soggette ad azione sismica</v>
      </c>
      <c r="K28" s="74">
        <f t="shared" si="0"/>
        <v>0.95</v>
      </c>
      <c r="L28" s="77">
        <v>13</v>
      </c>
    </row>
    <row r="29" spans="1:12" ht="31.2">
      <c r="A29" s="724"/>
      <c r="B29" s="728"/>
      <c r="C29" s="22" t="s">
        <v>92</v>
      </c>
      <c r="D29" s="23" t="s">
        <v>93</v>
      </c>
      <c r="E29" s="24" t="s">
        <v>88</v>
      </c>
      <c r="F29" s="25"/>
      <c r="G29" s="36" t="s">
        <v>35</v>
      </c>
      <c r="H29" s="62">
        <v>0.9</v>
      </c>
      <c r="J29" t="str">
        <f>CONCATENATE(C29,"-",B28,"-Strutture in muratura, legno e metallo soggette ad azioni sismiche, Consolidamenti, Paratie, Ponti, ecc.")</f>
        <v>S.04-Strutture, Opere infrastrutturali puntuali-Strutture in muratura, legno e metallo soggette ad azioni sismiche, Consolidamenti, Paratie, Ponti, ecc.</v>
      </c>
      <c r="K29" s="74">
        <f t="shared" si="0"/>
        <v>0.9</v>
      </c>
      <c r="L29" s="77">
        <v>2456</v>
      </c>
    </row>
    <row r="30" spans="1:12" ht="15.6">
      <c r="A30" s="724"/>
      <c r="B30" s="729" t="s">
        <v>94</v>
      </c>
      <c r="C30" s="18" t="s">
        <v>95</v>
      </c>
      <c r="D30" s="26" t="s">
        <v>96</v>
      </c>
      <c r="E30" s="20" t="s">
        <v>88</v>
      </c>
      <c r="F30" s="21"/>
      <c r="G30" s="35" t="s">
        <v>36</v>
      </c>
      <c r="H30" s="61">
        <v>1.05</v>
      </c>
      <c r="J30" t="str">
        <f>CONCATENATE(C30,"-",B30,"-Dighe, Conche, Elevatori, Opere di ritenuta  e di difesa, rilevati, colmate. Gallerie, Opere sotterranee e subacquee, Fondazioni speciali.")</f>
        <v>S.05-Strutture speciali-Dighe, Conche, Elevatori, Opere di ritenuta  e di difesa, rilevati, colmate. Gallerie, Opere sotterranee e subacquee, Fondazioni speciali.</v>
      </c>
      <c r="K30" s="74">
        <f t="shared" si="0"/>
        <v>1.05</v>
      </c>
      <c r="L30" s="77">
        <v>2456</v>
      </c>
    </row>
    <row r="31" spans="1:12" ht="23.4">
      <c r="A31" s="732"/>
      <c r="B31" s="731"/>
      <c r="C31" s="18" t="s">
        <v>97</v>
      </c>
      <c r="D31" s="19" t="s">
        <v>98</v>
      </c>
      <c r="E31" s="20" t="s">
        <v>88</v>
      </c>
      <c r="F31" s="21"/>
      <c r="G31" s="35" t="s">
        <v>214</v>
      </c>
      <c r="H31" s="61">
        <v>1.1499999999999999</v>
      </c>
      <c r="J31" t="str">
        <f>CONCATENATE(C31,"-",B30,"-Opere strutturali di notevole importanza costruttiva e richiedenti calcolazioni particolari")</f>
        <v>S.06-Strutture speciali-Opere strutturali di notevole importanza costruttiva e richiedenti calcolazioni particolari</v>
      </c>
      <c r="K31" s="74">
        <f t="shared" si="0"/>
        <v>1.1499999999999999</v>
      </c>
      <c r="L31" s="77">
        <v>2456</v>
      </c>
    </row>
    <row r="32" spans="1:12" ht="39">
      <c r="A32" s="744" t="s">
        <v>114</v>
      </c>
      <c r="B32" s="720" t="s">
        <v>99</v>
      </c>
      <c r="C32" s="22" t="s">
        <v>100</v>
      </c>
      <c r="D32" s="23" t="s">
        <v>101</v>
      </c>
      <c r="E32" s="748" t="s">
        <v>113</v>
      </c>
      <c r="F32" s="25"/>
      <c r="G32" s="36" t="s">
        <v>37</v>
      </c>
      <c r="H32" s="62">
        <v>0.75</v>
      </c>
      <c r="J32" t="str">
        <f>CONCATENATE(C32,"-",B32,"-Impianti idrici e fognari all'interno di edifici domestici o industriali, Reti per combustibili e gas, Impianti antincendio")</f>
        <v>IA.01-Impianti meccanici a fluido a servizio delle costruzioni-Impianti idrici e fognari all'interno di edifici domestici o industriali, Reti per combustibili e gas, Impianti antincendio</v>
      </c>
      <c r="K32" s="74">
        <f t="shared" si="0"/>
        <v>0.75</v>
      </c>
      <c r="L32" s="77" t="s">
        <v>215</v>
      </c>
    </row>
    <row r="33" spans="1:12" ht="15.6">
      <c r="A33" s="745"/>
      <c r="B33" s="728"/>
      <c r="C33" s="22" t="s">
        <v>102</v>
      </c>
      <c r="D33" s="23" t="s">
        <v>103</v>
      </c>
      <c r="E33" s="749"/>
      <c r="F33" s="25"/>
      <c r="G33" s="36" t="s">
        <v>38</v>
      </c>
      <c r="H33" s="62">
        <v>0.85</v>
      </c>
      <c r="J33" t="str">
        <f>CONCATENATE(C33,"-",B32,"-Impianti di riscaldamento e raffrescamento")</f>
        <v>IA.02-Impianti meccanici a fluido a servizio delle costruzioni-Impianti di riscaldamento e raffrescamento</v>
      </c>
      <c r="K33" s="74">
        <f t="shared" si="0"/>
        <v>0.85</v>
      </c>
      <c r="L33" s="77" t="s">
        <v>215</v>
      </c>
    </row>
    <row r="34" spans="1:12" ht="23.4">
      <c r="A34" s="745"/>
      <c r="B34" s="729" t="s">
        <v>104</v>
      </c>
      <c r="C34" s="18" t="s">
        <v>105</v>
      </c>
      <c r="D34" s="19" t="s">
        <v>106</v>
      </c>
      <c r="E34" s="733" t="s">
        <v>113</v>
      </c>
      <c r="F34" s="21"/>
      <c r="G34" s="35" t="s">
        <v>39</v>
      </c>
      <c r="H34" s="61">
        <v>1.1499999999999999</v>
      </c>
      <c r="J34" t="str">
        <f>CONCATENATE(C34,"-",B34,"-Impianti di tipo semplice")</f>
        <v>IA.03-Impianti elettrici e speciali a servizio delle costruzioni - Singole apparecchiature per laboratori e impianti pilota-Impianti di tipo semplice</v>
      </c>
      <c r="K34" s="74">
        <f t="shared" si="0"/>
        <v>1.1499999999999999</v>
      </c>
      <c r="L34" s="77" t="s">
        <v>215</v>
      </c>
    </row>
    <row r="35" spans="1:12" ht="31.2">
      <c r="A35" s="745"/>
      <c r="B35" s="731"/>
      <c r="C35" s="18" t="s">
        <v>107</v>
      </c>
      <c r="D35" s="19" t="s">
        <v>106</v>
      </c>
      <c r="E35" s="734"/>
      <c r="F35" s="21"/>
      <c r="G35" s="35" t="s">
        <v>40</v>
      </c>
      <c r="H35" s="61">
        <v>1.3</v>
      </c>
      <c r="J35" t="str">
        <f>CONCATENATE(C35,"-",B34,"-Impianti di tipo complesso")</f>
        <v>IA.04-Impianti elettrici e speciali a servizio delle costruzioni - Singole apparecchiature per laboratori e impianti pilota-Impianti di tipo complesso</v>
      </c>
      <c r="K35" s="74">
        <f t="shared" si="0"/>
        <v>1.3</v>
      </c>
      <c r="L35" s="77" t="s">
        <v>215</v>
      </c>
    </row>
    <row r="36" spans="1:12">
      <c r="A36" s="745"/>
      <c r="B36" s="720" t="s">
        <v>108</v>
      </c>
      <c r="C36" s="22" t="s">
        <v>109</v>
      </c>
      <c r="D36" s="23" t="s">
        <v>110</v>
      </c>
      <c r="E36" s="24" t="s">
        <v>88</v>
      </c>
      <c r="F36" s="25"/>
      <c r="G36" s="36" t="s">
        <v>41</v>
      </c>
      <c r="H36" s="62">
        <v>0.55000000000000004</v>
      </c>
      <c r="J36" t="str">
        <f>CONCATENATE(C36,"-",B36,"-",G36)</f>
        <v>IB.04-Impianti industriali - Impianti pilota e impianti di depurazione con ridotte problematiche tecniche - Discariche inerti-Depositi e discariche senza trattamento dei rifiuti.</v>
      </c>
      <c r="K36" s="74">
        <f t="shared" si="0"/>
        <v>0.55000000000000004</v>
      </c>
      <c r="L36" s="77" t="s">
        <v>216</v>
      </c>
    </row>
    <row r="37" spans="1:12" ht="15.6">
      <c r="A37" s="745"/>
      <c r="B37" s="728"/>
      <c r="C37" s="22" t="s">
        <v>111</v>
      </c>
      <c r="D37" s="23" t="s">
        <v>112</v>
      </c>
      <c r="E37" s="24" t="s">
        <v>53</v>
      </c>
      <c r="F37" s="25"/>
      <c r="G37" s="36" t="s">
        <v>42</v>
      </c>
      <c r="H37" s="62">
        <v>0.7</v>
      </c>
      <c r="J37" t="str">
        <f>CONCATENATE(C37,"-",B36,"-",G37)</f>
        <v>IB.05-Impianti industriali - Impianti pilota e impianti di depurazione con ridotte problematiche tecniche - Discariche inerti-Impianti per le industrie molitorie, cartarie, alimentari, delle fibre tessili naturali, del legno, del cuoio e simili.</v>
      </c>
      <c r="K37" s="74">
        <f t="shared" si="0"/>
        <v>0.7</v>
      </c>
      <c r="L37" s="77" t="s">
        <v>216</v>
      </c>
    </row>
    <row r="38" spans="1:12" ht="62.4">
      <c r="A38" s="746"/>
      <c r="B38" s="729" t="s">
        <v>127</v>
      </c>
      <c r="C38" s="18" t="s">
        <v>123</v>
      </c>
      <c r="D38" s="19" t="s">
        <v>112</v>
      </c>
      <c r="E38" s="733" t="s">
        <v>126</v>
      </c>
      <c r="F38" s="21"/>
      <c r="G38" s="27" t="s">
        <v>116</v>
      </c>
      <c r="H38" s="61">
        <v>0.7</v>
      </c>
      <c r="J38" t="str">
        <f>CONCATENATE(C38,"-",B38,"-Impianti industriali correnti")</f>
        <v>IB.06-Impianti industriali – Impianti pilota e impianti di depurazione complessi -Discariche con trattamenti e termovalorizzatori-Impianti industriali correnti</v>
      </c>
      <c r="K38" s="74">
        <f t="shared" si="0"/>
        <v>0.7</v>
      </c>
      <c r="L38" s="77" t="s">
        <v>216</v>
      </c>
    </row>
    <row r="39" spans="1:12" ht="15.6">
      <c r="A39" s="746"/>
      <c r="B39" s="731"/>
      <c r="C39" s="18" t="s">
        <v>124</v>
      </c>
      <c r="D39" s="19" t="s">
        <v>125</v>
      </c>
      <c r="E39" s="734"/>
      <c r="F39" s="21"/>
      <c r="G39" s="39" t="s">
        <v>117</v>
      </c>
      <c r="H39" s="61">
        <v>0.75</v>
      </c>
      <c r="J39" t="str">
        <f>CONCATENATE(C39,"-",B38,"-Impianti industriali complessi")</f>
        <v>IB.07-Impianti industriali – Impianti pilota e impianti di depurazione complessi -Discariche con trattamenti e termovalorizzatori-Impianti industriali complessi</v>
      </c>
      <c r="K39" s="74">
        <f t="shared" si="0"/>
        <v>0.75</v>
      </c>
      <c r="L39" s="77" t="s">
        <v>216</v>
      </c>
    </row>
    <row r="40" spans="1:12" ht="15.6">
      <c r="A40" s="746"/>
      <c r="B40" s="741" t="s">
        <v>136</v>
      </c>
      <c r="C40" s="22" t="s">
        <v>128</v>
      </c>
      <c r="D40" s="23" t="s">
        <v>129</v>
      </c>
      <c r="E40" s="24"/>
      <c r="F40" s="25"/>
      <c r="G40" s="40" t="s">
        <v>118</v>
      </c>
      <c r="H40" s="62">
        <v>0.5</v>
      </c>
      <c r="J40" t="str">
        <f>CONCATENATE(C40,"-",B40,"-",G40)</f>
        <v>IB.08-Opere elettriche per reti di trasmissione e distribuzione energia e segnali – Laboratori con ridotte problematiche tecniche-Impianti di linee e reti per trasmissioni e distribuzione di energia elettrica, telegrafia, telefonia.</v>
      </c>
      <c r="K40" s="74">
        <f t="shared" si="0"/>
        <v>0.5</v>
      </c>
      <c r="L40" s="77" t="s">
        <v>216</v>
      </c>
    </row>
    <row r="41" spans="1:12" ht="15.6">
      <c r="A41" s="746"/>
      <c r="B41" s="742"/>
      <c r="C41" s="22" t="s">
        <v>130</v>
      </c>
      <c r="D41" s="23" t="s">
        <v>131</v>
      </c>
      <c r="E41" s="24" t="s">
        <v>53</v>
      </c>
      <c r="F41" s="25"/>
      <c r="G41" s="40" t="s">
        <v>119</v>
      </c>
      <c r="H41" s="62">
        <v>0.6</v>
      </c>
      <c r="J41" t="str">
        <f>CONCATENATE(C41,"-",B40,"-",G41)</f>
        <v>IB.09-Opere elettriche per reti di trasmissione e distribuzione energia e segnali – Laboratori con ridotte problematiche tecniche-Centrali idroelettriche ordinarie - Stazioni di trasformazioni e di conversione impianti di trazione elettrica</v>
      </c>
      <c r="K41" s="74">
        <f t="shared" si="0"/>
        <v>0.6</v>
      </c>
      <c r="L41" s="77" t="s">
        <v>216</v>
      </c>
    </row>
    <row r="42" spans="1:12" ht="15.6">
      <c r="A42" s="746"/>
      <c r="B42" s="743"/>
      <c r="C42" s="22" t="s">
        <v>132</v>
      </c>
      <c r="D42" s="23" t="s">
        <v>133</v>
      </c>
      <c r="E42" s="24"/>
      <c r="F42" s="25"/>
      <c r="G42" s="40" t="s">
        <v>120</v>
      </c>
      <c r="H42" s="62">
        <v>0.75</v>
      </c>
      <c r="J42" t="str">
        <f>CONCATENATE(C42,"-",B40,"-",G42)</f>
        <v>IB.10-Opere elettriche per reti di trasmissione e distribuzione energia e segnali – Laboratori con ridotte problematiche tecniche-Impianti termoelettrici-Impianti dell'elettrochimica - Impianti della elettrometallurgia - Laboratori con ridotte problematiche tecniche</v>
      </c>
      <c r="K42" s="74">
        <f t="shared" si="0"/>
        <v>0.75</v>
      </c>
      <c r="L42" s="77" t="s">
        <v>216</v>
      </c>
    </row>
    <row r="43" spans="1:12">
      <c r="A43" s="746"/>
      <c r="B43" s="739" t="s">
        <v>137</v>
      </c>
      <c r="C43" s="28" t="s">
        <v>134</v>
      </c>
      <c r="D43" s="29"/>
      <c r="E43" s="30" t="s">
        <v>53</v>
      </c>
      <c r="F43" s="29"/>
      <c r="G43" s="39" t="s">
        <v>121</v>
      </c>
      <c r="H43" s="61">
        <v>0.9</v>
      </c>
      <c r="J43" t="str">
        <f>CONCATENATE(C43,"-",B43,"-",G43)</f>
        <v>IB.11-Impianti per la produzione di energia– Laboratori complessi-Campi fotovoltaici - Parchi eolici</v>
      </c>
      <c r="K43" s="74">
        <f t="shared" si="0"/>
        <v>0.9</v>
      </c>
      <c r="L43" s="77" t="s">
        <v>216</v>
      </c>
    </row>
    <row r="44" spans="1:12" ht="16.2" thickBot="1">
      <c r="A44" s="747"/>
      <c r="B44" s="740"/>
      <c r="C44" s="31" t="s">
        <v>135</v>
      </c>
      <c r="D44" s="32"/>
      <c r="E44" s="33" t="s">
        <v>53</v>
      </c>
      <c r="F44" s="32"/>
      <c r="G44" s="43" t="s">
        <v>122</v>
      </c>
      <c r="H44" s="63">
        <v>1</v>
      </c>
      <c r="J44" t="str">
        <f>CONCATENATE(C44,"-",B43,"-",G44)</f>
        <v>IB.12-Impianti per la produzione di energia– Laboratori complessi-Micro Centrali idroelettriche-Impianti termoelettrici-Impianti della elettrometallurgia di tipo complesso</v>
      </c>
      <c r="K44" s="74">
        <f t="shared" si="0"/>
        <v>1</v>
      </c>
      <c r="L44" s="77" t="s">
        <v>216</v>
      </c>
    </row>
    <row r="45" spans="1:12" ht="13.8" thickBot="1">
      <c r="A45" s="64" t="s">
        <v>115</v>
      </c>
      <c r="B45" s="34"/>
      <c r="C45" s="34"/>
      <c r="D45" s="34"/>
      <c r="E45" s="34"/>
      <c r="F45" s="34"/>
      <c r="G45" s="34"/>
      <c r="H45" s="65"/>
      <c r="J45" t="str">
        <f>CONCATENATE(C45,"-",B45)</f>
        <v>-</v>
      </c>
      <c r="K45" s="74">
        <f t="shared" si="0"/>
        <v>0</v>
      </c>
      <c r="L45" s="76"/>
    </row>
    <row r="46" spans="1:12">
      <c r="A46" s="736" t="s">
        <v>164</v>
      </c>
      <c r="B46" s="51" t="s">
        <v>158</v>
      </c>
      <c r="C46" s="26" t="s">
        <v>178</v>
      </c>
      <c r="D46" s="7" t="s">
        <v>179</v>
      </c>
      <c r="E46" s="44" t="s">
        <v>110</v>
      </c>
      <c r="F46" s="16"/>
      <c r="G46" s="35" t="s">
        <v>138</v>
      </c>
      <c r="H46" s="61">
        <v>0.4</v>
      </c>
      <c r="J46" t="str">
        <f>CONCATENATE(C46,"-",B46)</f>
        <v>V.01-Manutenzione</v>
      </c>
      <c r="K46" s="74">
        <f t="shared" si="0"/>
        <v>0.4</v>
      </c>
      <c r="L46" s="76"/>
    </row>
    <row r="47" spans="1:12" ht="15.6">
      <c r="A47" s="724"/>
      <c r="B47" s="52" t="s">
        <v>159</v>
      </c>
      <c r="C47" s="45" t="s">
        <v>180</v>
      </c>
      <c r="D47" s="10" t="s">
        <v>179</v>
      </c>
      <c r="E47" s="46" t="s">
        <v>110</v>
      </c>
      <c r="F47" s="17"/>
      <c r="G47" s="36" t="s">
        <v>139</v>
      </c>
      <c r="H47" s="62">
        <v>0.45</v>
      </c>
      <c r="J47" t="str">
        <f>CONCATENATE(C47,"-",B47)</f>
        <v>V.02-Viabilità ordinaria</v>
      </c>
      <c r="K47" s="74">
        <f t="shared" si="0"/>
        <v>0.45</v>
      </c>
      <c r="L47" s="76"/>
    </row>
    <row r="48" spans="1:12" ht="23.4">
      <c r="A48" s="732"/>
      <c r="B48" s="51" t="s">
        <v>160</v>
      </c>
      <c r="C48" s="26" t="s">
        <v>181</v>
      </c>
      <c r="D48" s="7" t="s">
        <v>182</v>
      </c>
      <c r="E48" s="44" t="s">
        <v>112</v>
      </c>
      <c r="F48" s="16"/>
      <c r="G48" s="35" t="s">
        <v>140</v>
      </c>
      <c r="H48" s="61">
        <v>0.75</v>
      </c>
      <c r="J48" t="str">
        <f>CONCATENATE(C48,"-",B48)</f>
        <v>V.03-Viabilità speciale</v>
      </c>
      <c r="K48" s="74">
        <f t="shared" si="0"/>
        <v>0.75</v>
      </c>
      <c r="L48" s="76"/>
    </row>
    <row r="49" spans="1:12">
      <c r="A49" s="723" t="s">
        <v>4</v>
      </c>
      <c r="B49" s="52" t="s">
        <v>161</v>
      </c>
      <c r="C49" s="45" t="s">
        <v>183</v>
      </c>
      <c r="D49" s="10" t="s">
        <v>184</v>
      </c>
      <c r="E49" s="46" t="s">
        <v>88</v>
      </c>
      <c r="F49" s="17"/>
      <c r="G49" s="36" t="s">
        <v>141</v>
      </c>
      <c r="H49" s="62">
        <v>0.65</v>
      </c>
      <c r="J49" t="str">
        <f>CONCATENATE(C49,"-",B49)</f>
        <v>D.01-Navigazione</v>
      </c>
      <c r="K49" s="74">
        <f t="shared" si="0"/>
        <v>0.65</v>
      </c>
      <c r="L49" s="76"/>
    </row>
    <row r="50" spans="1:12" ht="15.6">
      <c r="A50" s="724"/>
      <c r="B50" s="729" t="s">
        <v>162</v>
      </c>
      <c r="C50" s="26" t="s">
        <v>185</v>
      </c>
      <c r="D50" s="7" t="s">
        <v>186</v>
      </c>
      <c r="E50" s="44" t="s">
        <v>88</v>
      </c>
      <c r="F50" s="16"/>
      <c r="G50" s="35" t="s">
        <v>142</v>
      </c>
      <c r="H50" s="61">
        <v>0.45</v>
      </c>
      <c r="J50" t="str">
        <f>CONCATENATE(C50,"-",B50,"-",G50)</f>
        <v>D.02-Opere di bonifica e derivazioni-Bonifiche ed irrigazioni a deflusso naturale, sistemazione di corsi d'acqua e di bacini montani</v>
      </c>
      <c r="K50" s="74">
        <f t="shared" si="0"/>
        <v>0.45</v>
      </c>
      <c r="L50" s="76"/>
    </row>
    <row r="51" spans="1:12" ht="15.6">
      <c r="A51" s="724"/>
      <c r="B51" s="731"/>
      <c r="C51" s="26" t="s">
        <v>187</v>
      </c>
      <c r="D51" s="7" t="s">
        <v>188</v>
      </c>
      <c r="E51" s="44" t="s">
        <v>88</v>
      </c>
      <c r="F51" s="16"/>
      <c r="G51" s="35" t="s">
        <v>143</v>
      </c>
      <c r="H51" s="61">
        <v>0.55000000000000004</v>
      </c>
      <c r="J51" t="str">
        <f>CONCATENATE(C51,"-",B50,"-",G51)</f>
        <v>D.03-Opere di bonifica e derivazioni-Bonifiche ed irrigazioni con sollevamento meccanico di acqua (esclusi i macchinari) - Derivazioni d'acqua per forza motrice e produzione di energia elettrica.</v>
      </c>
      <c r="K51" s="74">
        <f t="shared" si="0"/>
        <v>0.55000000000000004</v>
      </c>
      <c r="L51" s="76"/>
    </row>
    <row r="52" spans="1:12" ht="23.4">
      <c r="A52" s="724"/>
      <c r="B52" s="720" t="s">
        <v>163</v>
      </c>
      <c r="C52" s="45" t="s">
        <v>189</v>
      </c>
      <c r="D52" s="10" t="s">
        <v>190</v>
      </c>
      <c r="E52" s="46" t="s">
        <v>88</v>
      </c>
      <c r="F52" s="17"/>
      <c r="G52" s="36" t="s">
        <v>144</v>
      </c>
      <c r="H52" s="62">
        <v>0.65</v>
      </c>
      <c r="J52" t="str">
        <f>CONCATENATE(C52,"-",B52,"-Impianti di tipo semplice ed ordinario")</f>
        <v>D.04-Acquedotti e fognature-Impianti di tipo semplice ed ordinario</v>
      </c>
      <c r="K52" s="74">
        <f t="shared" si="0"/>
        <v>0.65</v>
      </c>
      <c r="L52" s="76"/>
    </row>
    <row r="53" spans="1:12" ht="15.6">
      <c r="A53" s="732"/>
      <c r="B53" s="728"/>
      <c r="C53" s="45" t="s">
        <v>191</v>
      </c>
      <c r="D53" s="17"/>
      <c r="E53" s="46" t="s">
        <v>88</v>
      </c>
      <c r="F53" s="17"/>
      <c r="G53" s="36" t="s">
        <v>145</v>
      </c>
      <c r="H53" s="62">
        <v>0.8</v>
      </c>
      <c r="J53" t="str">
        <f>CONCATENATE(C53,"-",B52,"-Impianti di tipo complesso e speciale")</f>
        <v>D.05-Acquedotti e fognature-Impianti di tipo complesso e speciale</v>
      </c>
      <c r="K53" s="74">
        <f t="shared" si="0"/>
        <v>0.8</v>
      </c>
      <c r="L53" s="76"/>
    </row>
    <row r="54" spans="1:12" ht="24.75" customHeight="1">
      <c r="A54" s="723" t="s">
        <v>165</v>
      </c>
      <c r="B54" s="51" t="s">
        <v>167</v>
      </c>
      <c r="C54" s="26" t="s">
        <v>192</v>
      </c>
      <c r="D54" s="16"/>
      <c r="E54" s="16"/>
      <c r="F54" s="16"/>
      <c r="G54" s="35" t="s">
        <v>146</v>
      </c>
      <c r="H54" s="61">
        <v>0.95</v>
      </c>
      <c r="J54" t="str">
        <f t="shared" ref="J54:J65" si="1">CONCATENATE(C54,"-",B54)</f>
        <v>T.01-Sistemi informativi</v>
      </c>
      <c r="K54" s="74">
        <f t="shared" si="0"/>
        <v>0.95</v>
      </c>
      <c r="L54" s="76"/>
    </row>
    <row r="55" spans="1:12" ht="23.4">
      <c r="A55" s="724"/>
      <c r="B55" s="52" t="s">
        <v>168</v>
      </c>
      <c r="C55" s="45" t="s">
        <v>193</v>
      </c>
      <c r="D55" s="17"/>
      <c r="E55" s="17"/>
      <c r="F55" s="17"/>
      <c r="G55" s="36" t="s">
        <v>147</v>
      </c>
      <c r="H55" s="62">
        <v>0.7</v>
      </c>
      <c r="J55" t="str">
        <f t="shared" si="1"/>
        <v>T.02-Sistemi e reti di telecomunicazione</v>
      </c>
      <c r="K55" s="74">
        <f t="shared" si="0"/>
        <v>0.7</v>
      </c>
      <c r="L55" s="76"/>
    </row>
    <row r="56" spans="1:12" ht="19.2">
      <c r="A56" s="724"/>
      <c r="B56" s="51" t="s">
        <v>169</v>
      </c>
      <c r="C56" s="19" t="s">
        <v>194</v>
      </c>
      <c r="D56" s="16"/>
      <c r="E56" s="16"/>
      <c r="F56" s="16"/>
      <c r="G56" s="35" t="s">
        <v>148</v>
      </c>
      <c r="H56" s="61">
        <v>1.2</v>
      </c>
      <c r="J56" t="str">
        <f t="shared" si="1"/>
        <v>T.03-Sistemi elettronici ed automazione</v>
      </c>
      <c r="K56" s="74">
        <f t="shared" si="0"/>
        <v>1.2</v>
      </c>
      <c r="L56" s="76"/>
    </row>
    <row r="57" spans="1:12" ht="31.2">
      <c r="A57" s="723" t="s">
        <v>166</v>
      </c>
      <c r="B57" s="52" t="s">
        <v>170</v>
      </c>
      <c r="C57" s="23" t="s">
        <v>195</v>
      </c>
      <c r="D57" s="17"/>
      <c r="E57" s="17"/>
      <c r="F57" s="46" t="s">
        <v>196</v>
      </c>
      <c r="G57" s="36" t="s">
        <v>149</v>
      </c>
      <c r="H57" s="62">
        <v>0.85</v>
      </c>
      <c r="J57" t="str">
        <f t="shared" si="1"/>
        <v>P.01-Interventi di sistemazione naturalistica o paesaggistica</v>
      </c>
      <c r="K57" s="74">
        <f t="shared" si="0"/>
        <v>0.85</v>
      </c>
      <c r="L57" s="76"/>
    </row>
    <row r="58" spans="1:12" ht="20.399999999999999">
      <c r="A58" s="724"/>
      <c r="B58" s="51" t="s">
        <v>171</v>
      </c>
      <c r="C58" s="19" t="s">
        <v>197</v>
      </c>
      <c r="D58" s="16"/>
      <c r="E58" s="16"/>
      <c r="F58" s="44" t="s">
        <v>198</v>
      </c>
      <c r="G58" s="35" t="s">
        <v>150</v>
      </c>
      <c r="H58" s="61">
        <v>0.85</v>
      </c>
      <c r="J58" t="str">
        <f t="shared" si="1"/>
        <v>P.02-Interventi del verde e opere per attività ricreativa o sportiva</v>
      </c>
      <c r="K58" s="74">
        <f t="shared" si="0"/>
        <v>0.85</v>
      </c>
      <c r="L58" s="76"/>
    </row>
    <row r="59" spans="1:12" ht="20.399999999999999">
      <c r="A59" s="724"/>
      <c r="B59" s="52" t="s">
        <v>172</v>
      </c>
      <c r="C59" s="23" t="s">
        <v>199</v>
      </c>
      <c r="D59" s="17"/>
      <c r="E59" s="17"/>
      <c r="F59" s="46" t="s">
        <v>200</v>
      </c>
      <c r="G59" s="36" t="s">
        <v>151</v>
      </c>
      <c r="H59" s="62">
        <v>0.85</v>
      </c>
      <c r="J59" t="str">
        <f t="shared" si="1"/>
        <v>P.03-Interventi recupero, riqualificazione ambientale</v>
      </c>
      <c r="K59" s="74">
        <f t="shared" si="0"/>
        <v>0.85</v>
      </c>
      <c r="L59" s="76"/>
    </row>
    <row r="60" spans="1:12" ht="20.399999999999999">
      <c r="A60" s="724"/>
      <c r="B60" s="51" t="s">
        <v>173</v>
      </c>
      <c r="C60" s="19" t="s">
        <v>201</v>
      </c>
      <c r="D60" s="16"/>
      <c r="E60" s="16"/>
      <c r="F60" s="44" t="s">
        <v>202</v>
      </c>
      <c r="G60" s="35" t="s">
        <v>152</v>
      </c>
      <c r="H60" s="61">
        <v>0.85</v>
      </c>
      <c r="J60" t="str">
        <f t="shared" si="1"/>
        <v>P.04-Interventi di sfruttamento di cave e torbiere</v>
      </c>
      <c r="K60" s="74">
        <f t="shared" si="0"/>
        <v>0.85</v>
      </c>
      <c r="L60" s="76"/>
    </row>
    <row r="61" spans="1:12" ht="51">
      <c r="A61" s="737"/>
      <c r="B61" s="53" t="s">
        <v>174</v>
      </c>
      <c r="C61" s="75" t="s">
        <v>203</v>
      </c>
      <c r="D61" s="47"/>
      <c r="E61" s="17"/>
      <c r="F61" s="48" t="s">
        <v>204</v>
      </c>
      <c r="G61" s="38" t="s">
        <v>153</v>
      </c>
      <c r="H61" s="66">
        <v>0.85</v>
      </c>
      <c r="J61" t="str">
        <f t="shared" si="1"/>
        <v>P.05-Interventi di miglioramento e qualificazione della filiera forestale</v>
      </c>
      <c r="K61" s="74">
        <f t="shared" si="0"/>
        <v>0.85</v>
      </c>
      <c r="L61" s="76"/>
    </row>
    <row r="62" spans="1:12" ht="40.799999999999997">
      <c r="A62" s="738"/>
      <c r="B62" s="51" t="s">
        <v>175</v>
      </c>
      <c r="C62" s="26" t="s">
        <v>205</v>
      </c>
      <c r="D62" s="16"/>
      <c r="E62" s="16"/>
      <c r="F62" s="16" t="s">
        <v>206</v>
      </c>
      <c r="G62" s="35" t="s">
        <v>154</v>
      </c>
      <c r="H62" s="67">
        <v>0.85</v>
      </c>
      <c r="J62" t="str">
        <f t="shared" si="1"/>
        <v>P.06-Interventi di miglioramento fondiario agrario e rurale; interventi di pianificazione alimentare</v>
      </c>
      <c r="K62" s="74">
        <f t="shared" si="0"/>
        <v>0.85</v>
      </c>
      <c r="L62" s="76"/>
    </row>
    <row r="63" spans="1:12" ht="48">
      <c r="A63" s="723" t="s">
        <v>6</v>
      </c>
      <c r="B63" s="52" t="s">
        <v>176</v>
      </c>
      <c r="C63" s="49" t="s">
        <v>207</v>
      </c>
      <c r="D63" s="17"/>
      <c r="E63" s="17"/>
      <c r="F63" s="46" t="s">
        <v>208</v>
      </c>
      <c r="G63" s="36" t="s">
        <v>155</v>
      </c>
      <c r="H63" s="68">
        <v>0.9</v>
      </c>
      <c r="J63" t="str">
        <f t="shared" si="1"/>
        <v>U.01-Interventi per la valorizzazione delle filiere produttive agroalimentari e zootecniche; interventi di controllo – vigilanza alimentare</v>
      </c>
      <c r="K63" s="74">
        <f t="shared" si="0"/>
        <v>0.9</v>
      </c>
      <c r="L63" s="76"/>
    </row>
    <row r="64" spans="1:12" ht="28.8">
      <c r="A64" s="724"/>
      <c r="B64" s="51" t="s">
        <v>177</v>
      </c>
      <c r="C64" s="26" t="s">
        <v>209</v>
      </c>
      <c r="D64" s="16"/>
      <c r="E64" s="16"/>
      <c r="F64" s="44" t="s">
        <v>196</v>
      </c>
      <c r="G64" s="35" t="s">
        <v>156</v>
      </c>
      <c r="H64" s="67">
        <v>0.95</v>
      </c>
      <c r="J64" t="str">
        <f t="shared" si="1"/>
        <v>U.02-Interventi per la valorizzazione della filiera naturalistica e faunistica</v>
      </c>
      <c r="K64" s="74">
        <f t="shared" si="0"/>
        <v>0.95</v>
      </c>
      <c r="L64" s="76"/>
    </row>
    <row r="65" spans="1:12" ht="13.8" thickBot="1">
      <c r="A65" s="735"/>
      <c r="B65" s="69" t="s">
        <v>2</v>
      </c>
      <c r="C65" s="70" t="s">
        <v>210</v>
      </c>
      <c r="D65" s="71"/>
      <c r="E65" s="71"/>
      <c r="F65" s="71"/>
      <c r="G65" s="72" t="s">
        <v>157</v>
      </c>
      <c r="H65" s="73">
        <v>1</v>
      </c>
      <c r="J65" t="str">
        <f t="shared" si="1"/>
        <v>U.03-Pianificazione</v>
      </c>
      <c r="K65" s="74">
        <f t="shared" si="0"/>
        <v>1</v>
      </c>
      <c r="L65" s="76"/>
    </row>
  </sheetData>
  <sheetProtection password="CB36" sheet="1" objects="1" scenarios="1"/>
  <mergeCells count="35">
    <mergeCell ref="E38:E39"/>
    <mergeCell ref="A63:A65"/>
    <mergeCell ref="A54:A56"/>
    <mergeCell ref="A49:A53"/>
    <mergeCell ref="B50:B51"/>
    <mergeCell ref="B52:B53"/>
    <mergeCell ref="A46:A48"/>
    <mergeCell ref="A57:A62"/>
    <mergeCell ref="B43:B44"/>
    <mergeCell ref="B38:B39"/>
    <mergeCell ref="B40:B42"/>
    <mergeCell ref="A32:A44"/>
    <mergeCell ref="B32:B33"/>
    <mergeCell ref="E32:E33"/>
    <mergeCell ref="B34:B35"/>
    <mergeCell ref="E34:E35"/>
    <mergeCell ref="B36:B37"/>
    <mergeCell ref="A26:A31"/>
    <mergeCell ref="B26:B27"/>
    <mergeCell ref="B28:B29"/>
    <mergeCell ref="B30:B31"/>
    <mergeCell ref="B23:B25"/>
    <mergeCell ref="A4:A25"/>
    <mergeCell ref="B17:B19"/>
    <mergeCell ref="B14:B16"/>
    <mergeCell ref="B11:B13"/>
    <mergeCell ref="B8:B10"/>
    <mergeCell ref="B4:B5"/>
    <mergeCell ref="B6:B7"/>
    <mergeCell ref="B20:B22"/>
    <mergeCell ref="A1:H1"/>
    <mergeCell ref="A2:A3"/>
    <mergeCell ref="B2:B3"/>
    <mergeCell ref="C2:C3"/>
    <mergeCell ref="D2:F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55B341-2B78-4FEA-87C2-48055C532954}">
  <dimension ref="A1"/>
  <sheetViews>
    <sheetView zoomScale="140" zoomScaleNormal="140" workbookViewId="0">
      <selection activeCell="H27" sqref="H27"/>
    </sheetView>
  </sheetViews>
  <sheetFormatPr defaultRowHeight="13.2"/>
  <sheetData/>
  <sheetProtection algorithmName="SHA-512" hashValue="Q1h7UXwbU37yf/5lQyFAFdYZkFNl8/seRdqgkPO0YfpjdFT9q2A+MpjNda3iNs0pHq0koqaKx3sagxhhSsz0GQ==" saltValue="jXORgoInPQkFo5Ys6qNYTA==" spinCount="100000" sheet="1" objects="1" scenarios="1" selectLockedCells="1" selectUnlockedCells="1"/>
  <pageMargins left="0.7" right="0.7" top="0.75" bottom="0.75" header="0.3" footer="0.3"/>
  <pageSetup paperSize="9" orientation="portrait" r:id="rId1"/>
  <drawing r:id="rId2"/>
  <legacyDrawing r:id="rId3"/>
  <oleObjects>
    <mc:AlternateContent xmlns:mc="http://schemas.openxmlformats.org/markup-compatibility/2006">
      <mc:Choice Requires="x14">
        <oleObject progId="Acrobat Document" shapeId="4097" r:id="rId4">
          <objectPr defaultSize="0" autoPict="0" r:id="rId5">
            <anchor moveWithCells="1">
              <from>
                <xdr:col>0</xdr:col>
                <xdr:colOff>45720</xdr:colOff>
                <xdr:row>0</xdr:row>
                <xdr:rowOff>7620</xdr:rowOff>
              </from>
              <to>
                <xdr:col>5</xdr:col>
                <xdr:colOff>579120</xdr:colOff>
                <xdr:row>29</xdr:row>
                <xdr:rowOff>152400</xdr:rowOff>
              </to>
            </anchor>
          </objectPr>
        </oleObject>
      </mc:Choice>
      <mc:Fallback>
        <oleObject progId="Acrobat Document" shapeId="4097" r:id="rId4"/>
      </mc:Fallback>
    </mc:AlternateContent>
  </oleObject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3AC47F-136B-4763-9998-F2628EF79170}">
  <dimension ref="A1"/>
  <sheetViews>
    <sheetView zoomScale="110" zoomScaleNormal="110" workbookViewId="0">
      <selection activeCell="L8" sqref="L8"/>
    </sheetView>
  </sheetViews>
  <sheetFormatPr defaultRowHeight="13.2"/>
  <sheetData/>
  <sheetProtection algorithmName="SHA-512" hashValue="uNgeEzZWt58lsrphfo/bqLDbhJMBszQR5FwpgSw77mCPb2vHVrn2mY76wg4MFDIK/UH3ilCX/uI3mK9a+K3lEA==" saltValue="cLHIPou4bIYO0LTnxk8HKQ==" spinCount="100000" sheet="1" scenarios="1" selectLockedCells="1" selectUnlockedCells="1"/>
  <pageMargins left="0.7" right="0.7" top="0.75" bottom="0.75" header="0.3" footer="0.3"/>
  <pageSetup paperSize="9" orientation="portrait" r:id="rId1"/>
  <drawing r:id="rId2"/>
  <legacyDrawing r:id="rId3"/>
  <oleObjects>
    <mc:AlternateContent xmlns:mc="http://schemas.openxmlformats.org/markup-compatibility/2006">
      <mc:Choice Requires="x14">
        <oleObject progId="Acrobat Document" shapeId="5125" r:id="rId4">
          <objectPr defaultSize="0" r:id="rId5">
            <anchor moveWithCells="1">
              <from>
                <xdr:col>0</xdr:col>
                <xdr:colOff>0</xdr:colOff>
                <xdr:row>0</xdr:row>
                <xdr:rowOff>0</xdr:rowOff>
              </from>
              <to>
                <xdr:col>9</xdr:col>
                <xdr:colOff>182880</xdr:colOff>
                <xdr:row>49</xdr:row>
                <xdr:rowOff>83820</xdr:rowOff>
              </to>
            </anchor>
          </objectPr>
        </oleObject>
      </mc:Choice>
      <mc:Fallback>
        <oleObject progId="Acrobat Document" shapeId="5125" r:id="rId4"/>
      </mc:Fallback>
    </mc:AlternateContent>
  </oleObject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D7B1D6-98CC-4F06-A5E8-0593308BFB7E}">
  <dimension ref="A1"/>
  <sheetViews>
    <sheetView topLeftCell="A4" zoomScale="120" zoomScaleNormal="120" workbookViewId="0">
      <selection activeCell="J8" sqref="J8"/>
    </sheetView>
  </sheetViews>
  <sheetFormatPr defaultRowHeight="13.2"/>
  <sheetData/>
  <sheetProtection algorithmName="SHA-512" hashValue="klocrQhqt4WMHBrWBb7hu8kisCpHe7t7AyinZTqmzk6fO/Vehp8YSlimxt/VE85Tc8BJ9edeyQMXnRA0Sb51CQ==" saltValue="ki9QqHK1Y1JUcQvtxCNeig==" spinCount="100000" sheet="1" scenarios="1" selectLockedCells="1" selectUnlockedCells="1"/>
  <pageMargins left="0.7" right="0.7" top="0.75" bottom="0.75" header="0.3" footer="0.3"/>
  <pageSetup paperSize="9" orientation="portrait" r:id="rId1"/>
  <drawing r:id="rId2"/>
  <legacyDrawing r:id="rId3"/>
  <oleObjects>
    <mc:AlternateContent xmlns:mc="http://schemas.openxmlformats.org/markup-compatibility/2006">
      <mc:Choice Requires="x14">
        <oleObject progId="Acrobat Document" shapeId="8193" r:id="rId4">
          <objectPr defaultSize="0" r:id="rId5">
            <anchor moveWithCells="1">
              <from>
                <xdr:col>0</xdr:col>
                <xdr:colOff>0</xdr:colOff>
                <xdr:row>0</xdr:row>
                <xdr:rowOff>22860</xdr:rowOff>
              </from>
              <to>
                <xdr:col>9</xdr:col>
                <xdr:colOff>182880</xdr:colOff>
                <xdr:row>49</xdr:row>
                <xdr:rowOff>106680</xdr:rowOff>
              </to>
            </anchor>
          </objectPr>
        </oleObject>
      </mc:Choice>
      <mc:Fallback>
        <oleObject progId="Acrobat Document" shapeId="8193" r:id="rId4"/>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6</vt:i4>
      </vt:variant>
      <vt:variant>
        <vt:lpstr>Intervalli denominati</vt:lpstr>
      </vt:variant>
      <vt:variant>
        <vt:i4>1</vt:i4>
      </vt:variant>
    </vt:vector>
  </HeadingPairs>
  <TitlesOfParts>
    <vt:vector size="7" baseType="lpstr">
      <vt:lpstr>Calcolo compensi CCT</vt:lpstr>
      <vt:lpstr>RIEPILOGO</vt:lpstr>
      <vt:lpstr>Tabella-Z1</vt:lpstr>
      <vt:lpstr>LINEE GUIDA CCT</vt:lpstr>
      <vt:lpstr>DM 17_06_2016</vt:lpstr>
      <vt:lpstr>DM 10_03_2014 n.55 </vt:lpstr>
      <vt:lpstr>RIEPILOGO!Area_stampa</vt:lpstr>
    </vt:vector>
  </TitlesOfParts>
  <Company>Studio Associato Architetti Busnardo Fauda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Studio Associato Architetti Busnardo Fauda</dc:creator>
  <cp:lastModifiedBy>Rossana Barbarotto</cp:lastModifiedBy>
  <cp:lastPrinted>2021-03-08T19:35:24Z</cp:lastPrinted>
  <dcterms:created xsi:type="dcterms:W3CDTF">2012-12-11T08:34:06Z</dcterms:created>
  <dcterms:modified xsi:type="dcterms:W3CDTF">2021-04-28T10:28:19Z</dcterms:modified>
</cp:coreProperties>
</file>